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8\tre-pr-pe-58-edital-e-anexos\"/>
    </mc:Choice>
  </mc:AlternateContent>
  <bookViews>
    <workbookView xWindow="0" yWindow="0" windowWidth="20490" windowHeight="7755" tabRatio="704"/>
  </bookViews>
  <sheets>
    <sheet name="VALOR DO POSTO" sheetId="34" r:id="rId1"/>
    <sheet name="ENCARGOS SOCIAIS" sheetId="38" r:id="rId2"/>
    <sheet name="CITL" sheetId="33" r:id="rId3"/>
    <sheet name="HORA EXTRA" sheetId="35" r:id="rId4"/>
    <sheet name="INSUMOS" sheetId="37" r:id="rId5"/>
    <sheet name="FISCALIZAÇÃO" sheetId="40" r:id="rId6"/>
  </sheets>
  <externalReferences>
    <externalReference r:id="rId7"/>
  </externalReferences>
  <definedNames>
    <definedName name="_xlnm.Print_Area" localSheetId="2">CITL!$A$1:$B$21</definedName>
    <definedName name="_xlnm.Print_Area" localSheetId="5">FISCALIZAÇÃO!$A$1:$E$21</definedName>
    <definedName name="_xlnm.Print_Area" localSheetId="3">'HORA EXTRA'!$A$1:$I$40</definedName>
    <definedName name="_xlnm.Print_Area" localSheetId="4">INSUMOS!$A$1:$J$43</definedName>
    <definedName name="_xlnm.Print_Area" localSheetId="0">'VALOR DO POSTO'!$A$1:$R$45</definedName>
    <definedName name="_xlnm.Print_Titles" localSheetId="1">'ENCARGOS SOCIAIS'!$1:$4</definedName>
  </definedNames>
  <calcPr calcId="152511"/>
</workbook>
</file>

<file path=xl/calcChain.xml><?xml version="1.0" encoding="utf-8"?>
<calcChain xmlns="http://schemas.openxmlformats.org/spreadsheetml/2006/main">
  <c r="H28" i="34" l="1"/>
  <c r="D11" i="37" l="1"/>
  <c r="F58" i="38" l="1"/>
  <c r="C15" i="40" l="1"/>
  <c r="C16" i="40" s="1"/>
  <c r="C17" i="40"/>
  <c r="C18" i="40"/>
  <c r="A6" i="40"/>
  <c r="A5" i="40"/>
  <c r="A3" i="40"/>
  <c r="A2" i="40"/>
  <c r="A1" i="40"/>
  <c r="C19" i="40" l="1"/>
  <c r="C20" i="40" s="1"/>
  <c r="J27" i="37"/>
  <c r="E27" i="37" s="1"/>
  <c r="M14" i="34" s="1"/>
  <c r="M18" i="34" s="1"/>
  <c r="L18" i="34"/>
  <c r="K18" i="34"/>
  <c r="J18" i="34"/>
  <c r="L16" i="34"/>
  <c r="K16" i="34"/>
  <c r="J16" i="34"/>
  <c r="D20" i="37"/>
  <c r="E20" i="37" s="1"/>
  <c r="D21" i="37"/>
  <c r="E21" i="37" s="1"/>
  <c r="D22" i="37"/>
  <c r="E22" i="37" s="1"/>
  <c r="D39" i="37"/>
  <c r="D40" i="37"/>
  <c r="D41" i="37"/>
  <c r="C31" i="37"/>
  <c r="C32" i="37"/>
  <c r="C33" i="37"/>
  <c r="C34" i="37"/>
  <c r="C35" i="37"/>
  <c r="C36" i="37"/>
  <c r="C37" i="37"/>
  <c r="C38" i="37"/>
  <c r="C39" i="37"/>
  <c r="C40" i="37"/>
  <c r="C41" i="37"/>
  <c r="C30" i="37"/>
  <c r="F57" i="38"/>
  <c r="F29" i="38"/>
  <c r="C32" i="35"/>
  <c r="G32" i="35"/>
  <c r="J12" i="37"/>
  <c r="D12" i="37" s="1"/>
  <c r="E12" i="37" s="1"/>
  <c r="J13" i="37"/>
  <c r="D13" i="37" s="1"/>
  <c r="E13" i="37" s="1"/>
  <c r="J14" i="37"/>
  <c r="D14" i="37" s="1"/>
  <c r="J15" i="37"/>
  <c r="D15" i="37" s="1"/>
  <c r="E15" i="37" s="1"/>
  <c r="J16" i="37"/>
  <c r="D16" i="37" s="1"/>
  <c r="E16" i="37" s="1"/>
  <c r="J17" i="37"/>
  <c r="D17" i="37" s="1"/>
  <c r="E17" i="37" s="1"/>
  <c r="J18" i="37"/>
  <c r="D18" i="37" s="1"/>
  <c r="J19" i="37"/>
  <c r="D19" i="37" s="1"/>
  <c r="E19" i="37" s="1"/>
  <c r="J11" i="37"/>
  <c r="D30" i="37" s="1"/>
  <c r="C21" i="40" l="1"/>
  <c r="M16" i="34"/>
  <c r="E41" i="37"/>
  <c r="D34" i="37"/>
  <c r="E34" i="37" s="1"/>
  <c r="E18" i="37"/>
  <c r="D37" i="37"/>
  <c r="E37" i="37" s="1"/>
  <c r="D36" i="37"/>
  <c r="E36" i="37" s="1"/>
  <c r="E14" i="37"/>
  <c r="D33" i="37"/>
  <c r="E33" i="37" s="1"/>
  <c r="D35" i="37"/>
  <c r="E35" i="37" s="1"/>
  <c r="D32" i="37"/>
  <c r="E32" i="37" s="1"/>
  <c r="D31" i="37"/>
  <c r="E31" i="37" s="1"/>
  <c r="D38" i="37"/>
  <c r="E38" i="37" s="1"/>
  <c r="E40" i="37"/>
  <c r="E39" i="37"/>
  <c r="E30" i="37"/>
  <c r="A6" i="38"/>
  <c r="A5" i="38"/>
  <c r="F46" i="38"/>
  <c r="F43" i="38"/>
  <c r="F42" i="38"/>
  <c r="F21" i="38"/>
  <c r="F23" i="38" s="1"/>
  <c r="A3" i="38"/>
  <c r="A2" i="38"/>
  <c r="A1" i="38"/>
  <c r="F18" i="34"/>
  <c r="F16" i="34"/>
  <c r="H18" i="34"/>
  <c r="H16" i="34"/>
  <c r="E43" i="37" l="1"/>
  <c r="N18" i="34" s="1"/>
  <c r="O18" i="34" s="1"/>
  <c r="F45" i="38"/>
  <c r="F48" i="38" s="1"/>
  <c r="F66" i="38" s="1"/>
  <c r="C36" i="35"/>
  <c r="F22" i="35"/>
  <c r="F14" i="35"/>
  <c r="F18" i="35"/>
  <c r="F26" i="35"/>
  <c r="F59" i="38"/>
  <c r="F67" i="38" s="1"/>
  <c r="F30" i="38"/>
  <c r="F31" i="38" s="1"/>
  <c r="F64" i="38" s="1"/>
  <c r="F36" i="38"/>
  <c r="F37" i="38" s="1"/>
  <c r="F65" i="38" s="1"/>
  <c r="F63" i="38"/>
  <c r="F68" i="38" l="1"/>
  <c r="D14" i="34" s="1"/>
  <c r="D42" i="34" l="1"/>
  <c r="A6" i="37" l="1"/>
  <c r="E11" i="37" l="1"/>
  <c r="E24" i="37" s="1"/>
  <c r="N16" i="34" s="1"/>
  <c r="O16" i="34" s="1"/>
  <c r="A2" i="35" l="1"/>
  <c r="A5" i="37" l="1"/>
  <c r="A2" i="37" l="1"/>
  <c r="B18" i="33" l="1"/>
  <c r="Q14" i="34" s="1"/>
  <c r="A3" i="37"/>
  <c r="C33" i="35"/>
  <c r="B33" i="35"/>
  <c r="B27" i="35"/>
  <c r="B23" i="35"/>
  <c r="B19" i="35"/>
  <c r="B15" i="35"/>
  <c r="B11" i="35"/>
  <c r="C15" i="35"/>
  <c r="D15" i="35" s="1"/>
  <c r="E15" i="35" s="1"/>
  <c r="C27" i="35"/>
  <c r="C23" i="35"/>
  <c r="C19" i="35"/>
  <c r="D19" i="35" s="1"/>
  <c r="E19" i="35" s="1"/>
  <c r="A6" i="33"/>
  <c r="A5" i="33"/>
  <c r="A6" i="35"/>
  <c r="A5" i="35"/>
  <c r="A3" i="35"/>
  <c r="A1" i="35"/>
  <c r="A1" i="33"/>
  <c r="A2" i="33"/>
  <c r="A3" i="33"/>
  <c r="D27" i="35" l="1"/>
  <c r="E27" i="35" s="1"/>
  <c r="D23" i="35"/>
  <c r="E23" i="35" s="1"/>
  <c r="G33" i="35"/>
  <c r="H26" i="35"/>
  <c r="H14" i="35"/>
  <c r="H32" i="35"/>
  <c r="H22" i="35"/>
  <c r="H18" i="35"/>
  <c r="D32" i="35"/>
  <c r="D33" i="35" s="1"/>
  <c r="E33" i="35" s="1"/>
  <c r="H33" i="35" l="1"/>
  <c r="I33" i="35" s="1"/>
  <c r="D18" i="34"/>
  <c r="E18" i="34" s="1"/>
  <c r="P18" i="34" s="1"/>
  <c r="Q18" i="34" l="1"/>
  <c r="R18" i="34" s="1"/>
  <c r="D16" i="34"/>
  <c r="E16" i="34" s="1"/>
  <c r="P16" i="34" s="1"/>
  <c r="F19" i="35"/>
  <c r="G19" i="35" s="1"/>
  <c r="H19" i="35" s="1"/>
  <c r="I19" i="35" s="1"/>
  <c r="F15" i="35"/>
  <c r="G15" i="35" s="1"/>
  <c r="H15" i="35" s="1"/>
  <c r="I15" i="35" s="1"/>
  <c r="F23" i="35"/>
  <c r="G23" i="35" s="1"/>
  <c r="H23" i="35" s="1"/>
  <c r="I23" i="35" s="1"/>
  <c r="F27" i="35"/>
  <c r="G27" i="35" s="1"/>
  <c r="H27" i="35" s="1"/>
  <c r="I27" i="35" s="1"/>
  <c r="Q16" i="34" l="1"/>
  <c r="R16" i="34" s="1"/>
  <c r="C29" i="34"/>
  <c r="E29" i="34" s="1"/>
  <c r="F29" i="34" s="1"/>
  <c r="C26" i="34" l="1"/>
  <c r="E26" i="34" s="1"/>
  <c r="F26" i="34" s="1"/>
  <c r="J29" i="34" s="1"/>
</calcChain>
</file>

<file path=xl/comments1.xml><?xml version="1.0" encoding="utf-8"?>
<comments xmlns="http://schemas.openxmlformats.org/spreadsheetml/2006/main">
  <authors>
    <author>Ana Maria</author>
  </authors>
  <commentList>
    <comment ref="J10" authorId="0" shapeId="0">
      <text>
        <r>
          <rPr>
            <b/>
            <sz val="9"/>
            <color indexed="81"/>
            <rFont val="Segoe UI"/>
            <family val="2"/>
          </rPr>
          <t xml:space="preserve">NAPEM
</t>
        </r>
        <r>
          <rPr>
            <sz val="9"/>
            <color indexed="81"/>
            <rFont val="Segoe UI"/>
            <family val="2"/>
          </rPr>
          <t>Se não tiver preço, deixe o campo em branco. Caso informe R$0,00, a fórmula calculará a Média com o 0,00.</t>
        </r>
      </text>
    </comment>
    <comment ref="J26" authorId="0" shapeId="0">
      <text>
        <r>
          <rPr>
            <b/>
            <sz val="9"/>
            <color indexed="81"/>
            <rFont val="Segoe UI"/>
            <family val="2"/>
          </rPr>
          <t xml:space="preserve">NAPEM
</t>
        </r>
        <r>
          <rPr>
            <sz val="9"/>
            <color indexed="81"/>
            <rFont val="Segoe UI"/>
            <family val="2"/>
          </rPr>
          <t>Se não tiver preço, deixe o campo em branco. Caso informe R$0,00, a fórmula calculará a Média com o 0,00.</t>
        </r>
      </text>
    </comment>
  </commentList>
</comments>
</file>

<file path=xl/sharedStrings.xml><?xml version="1.0" encoding="utf-8"?>
<sst xmlns="http://schemas.openxmlformats.org/spreadsheetml/2006/main" count="318" uniqueCount="245">
  <si>
    <t>INSS</t>
  </si>
  <si>
    <t>INCRA</t>
  </si>
  <si>
    <t>Salário Educação</t>
  </si>
  <si>
    <t>FGTS</t>
  </si>
  <si>
    <t>SEBRAE</t>
  </si>
  <si>
    <t>%</t>
  </si>
  <si>
    <t xml:space="preserve">Subtotal </t>
  </si>
  <si>
    <t>Subtotal</t>
  </si>
  <si>
    <t>ENCARGOS SOCIAIS E TRABALHISTAS</t>
  </si>
  <si>
    <t>Item</t>
  </si>
  <si>
    <t xml:space="preserve">Percentual </t>
  </si>
  <si>
    <t>ITEM</t>
  </si>
  <si>
    <t>DESCRIÇÃO DO SERVIÇO</t>
  </si>
  <si>
    <t>MONTANTE A</t>
  </si>
  <si>
    <t>MONTANTE B</t>
  </si>
  <si>
    <t>MONTANTE A + MONTANTE B</t>
  </si>
  <si>
    <t>SALÁRIO</t>
  </si>
  <si>
    <t>ENCARGOS SOCIAIS</t>
  </si>
  <si>
    <t>TOTAL</t>
  </si>
  <si>
    <t>POSTO DE TRABALHO</t>
  </si>
  <si>
    <t>DESCANSO SEMANAL REMUNERADO</t>
  </si>
  <si>
    <t>CARGA HORÁRIA SEMANAL</t>
  </si>
  <si>
    <t xml:space="preserve">MONTANTE A </t>
  </si>
  <si>
    <t>Sim</t>
  </si>
  <si>
    <t>Não</t>
  </si>
  <si>
    <t>SESI / SESC</t>
  </si>
  <si>
    <t>SENAI / SENAC</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</si>
  <si>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</si>
  <si>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</si>
  <si>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</si>
  <si>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</si>
  <si>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</si>
  <si>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</si>
  <si>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</si>
  <si>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</si>
  <si>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</si>
  <si>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</si>
  <si>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</si>
  <si>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</si>
  <si>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</si>
  <si>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</si>
  <si>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</si>
  <si>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Faltas Legais</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</si>
  <si>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</si>
  <si>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</si>
  <si>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</si>
  <si>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</si>
  <si>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</si>
  <si>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</si>
  <si>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</si>
  <si>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</si>
  <si>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</si>
  <si>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</si>
  <si>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</si>
  <si>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</si>
  <si>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</si>
  <si>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</si>
  <si>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</si>
  <si>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</si>
  <si>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</si>
  <si>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t>PAD:</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</si>
  <si>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</si>
  <si>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</si>
  <si>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</si>
  <si>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</si>
  <si>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</si>
  <si>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</si>
  <si>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</si>
  <si>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</si>
  <si>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</si>
  <si>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</si>
  <si>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</si>
  <si>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</si>
  <si>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</si>
  <si>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</si>
  <si>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</si>
  <si>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</si>
  <si>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</si>
  <si>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</si>
  <si>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</si>
  <si>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</si>
  <si>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</si>
  <si>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</si>
  <si>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</si>
  <si>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</si>
  <si>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</si>
  <si>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</si>
  <si>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</si>
  <si>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</si>
  <si>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</si>
  <si>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</si>
  <si>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</si>
  <si>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</si>
  <si>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</si>
  <si>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</si>
  <si>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</si>
  <si>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</si>
  <si>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</si>
  <si>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</si>
  <si>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r>
      <rPr>
        <b/>
        <sz val="8"/>
        <rFont val="Arial"/>
        <family val="2"/>
      </rPr>
      <t>SUBMÓDULO 1</t>
    </r>
    <r>
      <rPr>
        <sz val="8"/>
        <rFont val="Arial"/>
        <family val="2"/>
      </rPr>
      <t xml:space="preserve"> sobre o Aviso Prévio Trabalhado. </t>
    </r>
  </si>
  <si>
    <t>B23 X B44</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</si>
  <si>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</si>
  <si>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</si>
  <si>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</si>
  <si>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</si>
  <si>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</si>
  <si>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</si>
  <si>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</si>
  <si>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</si>
  <si>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</si>
  <si>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</si>
  <si>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</si>
  <si>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</si>
  <si>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</si>
  <si>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</si>
  <si>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</si>
  <si>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</si>
  <si>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HORA EXTRA SUPLEMENTAR</t>
  </si>
  <si>
    <t xml:space="preserve">SALÁRIO </t>
  </si>
  <si>
    <t>HORA SUPLEMENTAR NOTURNA 100%</t>
  </si>
  <si>
    <t>CITL</t>
  </si>
  <si>
    <t>HORA SUPLEMENTAR NOTURNA 50%</t>
  </si>
  <si>
    <t>HORA SUPLEMENTAR 50%</t>
  </si>
  <si>
    <t>HORA SUPLEMENTAR 100%</t>
  </si>
  <si>
    <t>VALOR  DA HORA SUPLEMENTAR  50%</t>
  </si>
  <si>
    <t>VALOR  DA HORA SUPLEMENTAR 100%</t>
  </si>
  <si>
    <t>VALOR  DA HORA SUPLEMENTAR NOTURNA 50%</t>
  </si>
  <si>
    <t>VALOR  DA HORA SUPLEMENTAR NOTURNA 100%</t>
  </si>
  <si>
    <t>HORA SALÁRIO NOTURNA COM 50% DE ACRESCIMO</t>
  </si>
  <si>
    <t>HORA SALÁRIO NOTURNA COM 100% DE ACRESCIMO</t>
  </si>
  <si>
    <r>
      <rPr>
        <b/>
        <sz val="10"/>
        <rFont val="Arial"/>
        <family val="2"/>
      </rPr>
      <t>Descanso Semanal Remunerado</t>
    </r>
    <r>
      <rPr>
        <sz val="10"/>
        <rFont val="Arial"/>
        <family val="2"/>
      </rPr>
      <t>: Incluído o DSR de 20% sobre o valor da hora suplementar.</t>
    </r>
  </si>
  <si>
    <t>AUXÍLIOS DECORRENTES DE JORNADA SUPLEMENTAR</t>
  </si>
  <si>
    <t>AUXÍLIO TRANSPORTE</t>
  </si>
  <si>
    <t>POR DIA</t>
  </si>
  <si>
    <t>AUXÍLIO TRANSPORTE SUPLEMENTAR</t>
  </si>
  <si>
    <t>VALE ALIMENTAÇÃO SUPLEMENTAR</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</si>
  <si>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</si>
  <si>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</si>
  <si>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</si>
  <si>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AUXÍLIO ALIMENTAÇÃO**</t>
  </si>
  <si>
    <t xml:space="preserve">SUBMÓDULO 4 - Provisão para Rescisão </t>
  </si>
  <si>
    <t>TRIBUNAL REGIONAL ELEITORAL DO PARANÁ</t>
  </si>
  <si>
    <t>INSUMOS</t>
  </si>
  <si>
    <t>Valor Unitário</t>
  </si>
  <si>
    <t>Soma Mensal por Posto</t>
  </si>
  <si>
    <t>Quantidade por Posto</t>
  </si>
  <si>
    <t>Periodicid. (Meses)</t>
  </si>
  <si>
    <t>Crachá de identificação</t>
  </si>
  <si>
    <t>VALOR DO POSTO - UNITÁRIO MENSAL
(A+B+CITL+I)</t>
  </si>
  <si>
    <t>PERÍODO NORMAL</t>
  </si>
  <si>
    <t>POR DIA*</t>
  </si>
  <si>
    <t>x</t>
  </si>
  <si>
    <t>B44 X 8% X 40%</t>
  </si>
  <si>
    <t>0,08 X 0,4 X 0,9 X [1 + 1/12 + 1/12 + (1/3 X 1/12)] = 3,44%</t>
  </si>
  <si>
    <t>B41 X 8% X 40%</t>
  </si>
  <si>
    <t>Observações:</t>
  </si>
  <si>
    <t>Resumo Contratual</t>
  </si>
  <si>
    <t>Quantidade de Postos</t>
  </si>
  <si>
    <t>Valor Mensal</t>
  </si>
  <si>
    <t>Valor Unitário  Mensal</t>
  </si>
  <si>
    <t>Porteiro (CBO 5174-10) - 44h</t>
  </si>
  <si>
    <t>Convenção Coletiva de Trabalho utilizada como referência:</t>
  </si>
  <si>
    <t>Vigência da CCT:</t>
  </si>
  <si>
    <t>1º/3/2021 a 28/2/2022</t>
  </si>
  <si>
    <t>Nome empresarial</t>
  </si>
  <si>
    <t>CNPJ</t>
  </si>
  <si>
    <r>
      <rPr>
        <b/>
        <sz val="10"/>
        <rFont val="Arial"/>
        <family val="2"/>
      </rPr>
      <t>Adicional Noturno</t>
    </r>
    <r>
      <rPr>
        <sz val="10"/>
        <rFont val="Arial"/>
        <family val="2"/>
      </rPr>
      <t>: 20% sobre a hora reduzida 52,5 min, conforme art. 73 da CLT.</t>
    </r>
  </si>
  <si>
    <t>((1/12) X 0,05) X 100 = 0,42%</t>
  </si>
  <si>
    <t>((7 / 30) / 12) X 100 = 1,94%</t>
  </si>
  <si>
    <t>CÉLULAS A PREENCHER</t>
  </si>
  <si>
    <t>Benefício Social Odontológico
CCT 2021, 12ª</t>
  </si>
  <si>
    <t>Benefício Social Familiar
CCT 2021, 13ª</t>
  </si>
  <si>
    <t>Fundo de Qualificação Profissional
CCT 2021, 19ª</t>
  </si>
  <si>
    <t>10344/2021</t>
  </si>
  <si>
    <t>PERÍODO ELEITORAL</t>
  </si>
  <si>
    <t>Preço 1</t>
  </si>
  <si>
    <t>Preço 2</t>
  </si>
  <si>
    <t>Preço 3</t>
  </si>
  <si>
    <t>Preço Médio</t>
  </si>
  <si>
    <t>Posto de Trabalho - Serviços de Portaria</t>
  </si>
  <si>
    <t>% , considerando o teto do RAT x FAP de 6% e contratação diferente de Trabalho Temporário (Lei 13429/17), conforme planilha "Encargos Sociais".</t>
  </si>
  <si>
    <r>
      <rPr>
        <b/>
        <sz val="10"/>
        <rFont val="Arial"/>
        <family val="2"/>
      </rPr>
      <t>Dias úteis = 21</t>
    </r>
    <r>
      <rPr>
        <sz val="10"/>
        <rFont val="Arial"/>
        <family val="2"/>
      </rPr>
      <t>: [ ( 365 / 7 ) X 5 - 9 ] / 12 = 20,98 (Acórdão TCU nº 1904/07 Plenário).</t>
    </r>
  </si>
  <si>
    <t>Valor Total
12 meses</t>
  </si>
  <si>
    <t>Valor Total da Contratação</t>
  </si>
  <si>
    <t>CCT SINEEPRES-SINDEPRESTEM-PR 2021/2022 - Registro MTE n. PR000751/2021</t>
  </si>
  <si>
    <r>
      <t>Estimativa realizada com base na CCT SINEEPRES-SINDIPRESTEM-PR 2021/2022 - Registro MTE n. PR000</t>
    </r>
    <r>
      <rPr>
        <b/>
        <sz val="10"/>
        <rFont val="Arial"/>
        <family val="2"/>
      </rPr>
      <t>751</t>
    </r>
    <r>
      <rPr>
        <sz val="10"/>
        <rFont val="Arial"/>
        <family val="2"/>
      </rPr>
      <t>/2021</t>
    </r>
  </si>
  <si>
    <t>Licitação:</t>
  </si>
  <si>
    <t>Planilha de Custos e Formação de Preços - ESTIMATIVA TRE-PR</t>
  </si>
  <si>
    <t>Quant. Diária</t>
  </si>
  <si>
    <t>Desc. PAT</t>
  </si>
  <si>
    <t>CITL - CUSTOS INDIRETOS, TRIBUTOS E LUCRO
(Vide Aba)</t>
  </si>
  <si>
    <r>
      <t xml:space="preserve">PERÍODO ELEITORAL </t>
    </r>
    <r>
      <rPr>
        <sz val="10"/>
        <color theme="4" tint="-0.249977111117893"/>
        <rFont val="Arial"/>
        <family val="2"/>
      </rPr>
      <t>-</t>
    </r>
    <r>
      <rPr>
        <b/>
        <sz val="10"/>
        <color theme="4" tint="-0.249977111117893"/>
        <rFont val="Arial"/>
        <family val="2"/>
      </rPr>
      <t xml:space="preserve"> </t>
    </r>
    <r>
      <rPr>
        <sz val="10"/>
        <color theme="4" tint="-0.249977111117893"/>
        <rFont val="Arial"/>
        <family val="2"/>
      </rPr>
      <t>15/8 a 30/11</t>
    </r>
  </si>
  <si>
    <t>INSUMOS
(Vide Aba)</t>
  </si>
  <si>
    <t>AUXÍLIO TRANSPORTE
(Mensal)</t>
  </si>
  <si>
    <r>
      <rPr>
        <b/>
        <sz val="10"/>
        <rFont val="Arial"/>
        <family val="2"/>
      </rPr>
      <t>Salário</t>
    </r>
    <r>
      <rPr>
        <sz val="10"/>
        <rFont val="Arial"/>
        <family val="2"/>
      </rPr>
      <t xml:space="preserve">: CCT 2021, 4ª, linha 34 </t>
    </r>
  </si>
  <si>
    <r>
      <rPr>
        <b/>
        <sz val="10"/>
        <rFont val="Arial"/>
        <family val="2"/>
      </rPr>
      <t>Auxílio Alimentação</t>
    </r>
    <r>
      <rPr>
        <sz val="10"/>
        <rFont val="Arial"/>
        <family val="2"/>
      </rPr>
      <t>: CCT 2021, 11ª (VA * 21)</t>
    </r>
  </si>
  <si>
    <r>
      <rPr>
        <b/>
        <sz val="10"/>
        <rFont val="Arial"/>
        <family val="2"/>
      </rPr>
      <t>Auxílio Transporte</t>
    </r>
    <r>
      <rPr>
        <sz val="10"/>
        <rFont val="Arial"/>
        <family val="2"/>
      </rPr>
      <t>: (Valor Unitário X Quantidade Diária X 21 Dias Úteis) - 6% do Salário.</t>
    </r>
  </si>
  <si>
    <r>
      <rPr>
        <b/>
        <sz val="10"/>
        <rFont val="Arial"/>
        <family val="2"/>
      </rPr>
      <t>Benefício Social Odontológico</t>
    </r>
    <r>
      <rPr>
        <sz val="10"/>
        <rFont val="Arial"/>
        <family val="2"/>
      </rPr>
      <t>: CCT 2021, 13ª.</t>
    </r>
  </si>
  <si>
    <r>
      <rPr>
        <b/>
        <sz val="10"/>
        <rFont val="Arial"/>
        <family val="2"/>
      </rPr>
      <t>Benefício Social Familiar</t>
    </r>
    <r>
      <rPr>
        <sz val="10"/>
        <rFont val="Arial"/>
        <family val="2"/>
      </rPr>
      <t>: CCT 2021, 14ª.</t>
    </r>
  </si>
  <si>
    <r>
      <rPr>
        <b/>
        <sz val="10"/>
        <rFont val="Arial"/>
        <family val="2"/>
      </rPr>
      <t>Fundo de Formação Profissional</t>
    </r>
    <r>
      <rPr>
        <sz val="10"/>
        <rFont val="Arial"/>
        <family val="2"/>
      </rPr>
      <t>: CCT 2021, 19ª.</t>
    </r>
  </si>
  <si>
    <r>
      <rPr>
        <b/>
        <sz val="10"/>
        <rFont val="Arial"/>
        <family val="2"/>
      </rPr>
      <t>Valor do Posto Unitário Mensal</t>
    </r>
    <r>
      <rPr>
        <sz val="10"/>
        <rFont val="Arial"/>
        <family val="2"/>
      </rPr>
      <t>:</t>
    </r>
    <r>
      <rPr>
        <sz val="10"/>
        <color indexed="8"/>
        <rFont val="Arial"/>
        <family val="2"/>
      </rPr>
      <t xml:space="preserve"> Montante A + Montante B + CITL + Insumos.</t>
    </r>
  </si>
  <si>
    <r>
      <rPr>
        <b/>
        <sz val="10"/>
        <rFont val="Arial"/>
        <family val="2"/>
      </rPr>
      <t>CITL</t>
    </r>
    <r>
      <rPr>
        <sz val="10"/>
        <rFont val="Arial"/>
        <family val="2"/>
      </rPr>
      <t>: Custos Indiretos, Tributos e Lucros.</t>
    </r>
  </si>
  <si>
    <t>RAT
(%)</t>
  </si>
  <si>
    <t>FAP
(Fator)</t>
  </si>
  <si>
    <t>RAT Ajustado</t>
  </si>
  <si>
    <t>Alíquotas do RAT de 1%, 2% ou 3%, pondendo ser reduzida pela metade ou acrescida em até 100% pelo FAP.</t>
  </si>
  <si>
    <r>
      <rPr>
        <b/>
        <sz val="10"/>
        <rFont val="Arial"/>
        <family val="2"/>
      </rPr>
      <t>Encargos Sociais</t>
    </r>
    <r>
      <rPr>
        <sz val="10"/>
        <rFont val="Arial"/>
        <family val="2"/>
      </rPr>
      <t>: Percentual estabelecido de:</t>
    </r>
  </si>
  <si>
    <t>%  (Conforme Submodulo 1 da planilha "Encargos Sociais").</t>
  </si>
  <si>
    <t>Núcleo de Análise e Pesquisa de Mercado</t>
  </si>
  <si>
    <t>HORA SALÁRIO COM 50% DE ACRÉSCIMO</t>
  </si>
  <si>
    <t>HORA SALÁRIO COM 100% DE ACRÉSCIMO</t>
  </si>
  <si>
    <r>
      <rPr>
        <b/>
        <sz val="10"/>
        <rFont val="Arial"/>
        <family val="2"/>
      </rPr>
      <t>Auxílio Alimentação**</t>
    </r>
    <r>
      <rPr>
        <sz val="10"/>
        <rFont val="Arial"/>
        <family val="2"/>
      </rPr>
      <t>: No regime SDF, o valor será pago por dia efetivamente trabalhado.</t>
    </r>
  </si>
  <si>
    <r>
      <rPr>
        <b/>
        <sz val="10"/>
        <rFont val="Arial"/>
        <family val="2"/>
      </rPr>
      <t>Auxílio Transporte*</t>
    </r>
    <r>
      <rPr>
        <sz val="10"/>
        <rFont val="Arial"/>
        <family val="2"/>
      </rPr>
      <t>: Valor diário. Devido por dia e somente nos casos de H.E. de sábado, domingo ou feriado.</t>
    </r>
  </si>
  <si>
    <t>Observações</t>
  </si>
  <si>
    <t>Uniforme (Período Normal)</t>
  </si>
  <si>
    <t>Uniforme (Período Eleitoral)</t>
  </si>
  <si>
    <t>Exame Admissional / Demissional
CCT2021, 54ª
(Vide Aba Insumos)</t>
  </si>
  <si>
    <t>Exame médico admissional / demissional</t>
  </si>
  <si>
    <t>Terno (paletó e calça), Masculino/Feminino, Azul Marinho, Tecido em poli viscose, corte americano, padronagem lisa.</t>
  </si>
  <si>
    <t>Camisa manga curta, Masculino/Feminino, Branca, Tipo social confeccionada em 100% algodão, padronagem lisa.</t>
  </si>
  <si>
    <t>Camisa manga longa, Masculino/Feminino, Branca, Tipo social confeccionada em 100% algodão, padronagem lisa.</t>
  </si>
  <si>
    <t>Gravata lisa, Masculino, Preta, Tecido 100% Poliéster, padronagem lisa.</t>
  </si>
  <si>
    <t>Japona dupla face, Masculino/Feminino, Preta, Tecido 100% Poliamida, fechamento com zíper, dois bolsos e capuz.</t>
  </si>
  <si>
    <t>Blusa de lã com decote "V", Masculino/Feminino, Preta, Lã 100% acrílica, padronagem lisa.</t>
  </si>
  <si>
    <t>Sapato confortável, Masculino/Feminino, Preto, Social clássico, 100% em material sintético (poliuretano), solado de borracha, palmilha em EVA com forro em tecido, com cadarços.</t>
  </si>
  <si>
    <t>Meias, Masculino/Feminino, Pretas, Tipo social, em algodão, porém o punho deverá ser no material elastano, padronagem lisa.</t>
  </si>
  <si>
    <t>Custo do Profissional Ausente</t>
  </si>
  <si>
    <t>Quantidade de dias corridos:</t>
  </si>
  <si>
    <t>Quantidade de dias úteis:</t>
  </si>
  <si>
    <t>Remuneração:</t>
  </si>
  <si>
    <t>Vale Alimentação:</t>
  </si>
  <si>
    <t>Vale Transporte:</t>
  </si>
  <si>
    <t>Soma:</t>
  </si>
  <si>
    <t>Encargos Previdenciários:</t>
  </si>
  <si>
    <t>CITL:</t>
  </si>
  <si>
    <t>Valor da Glosa:</t>
  </si>
  <si>
    <r>
      <rPr>
        <b/>
        <sz val="10"/>
        <rFont val="Arial"/>
        <family val="2"/>
      </rPr>
      <t>Encargos Sociais</t>
    </r>
    <r>
      <rPr>
        <sz val="10"/>
        <rFont val="Arial"/>
        <family val="2"/>
      </rPr>
      <t>: Percentual máximo de 76,48%.</t>
    </r>
  </si>
  <si>
    <t>Quantidade de dias úteis X o Valor Unitário do VA</t>
  </si>
  <si>
    <t>Quantidade de dias úteis X o Valor Unitário do VT X a Quantidade Diária Fornecida</t>
  </si>
  <si>
    <t>Custos Indiretos, Tributos e Lucro</t>
  </si>
  <si>
    <t>Cálculo para exclusão do Custo do Profissional Ausente no caso de não reposição</t>
  </si>
  <si>
    <t>AUXÍLIO ALIMENTAÇÃO (Mensal)</t>
  </si>
  <si>
    <t>Remuneração / 30 X Quantidade de dias corridos</t>
  </si>
  <si>
    <t>Submódulo 1 da Planilha de Encargos Sociais e FGTS</t>
  </si>
  <si>
    <t>Valor Total
3 meses e 16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</si>
</sst>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8" formatCode="&quot;R$&quot;\ #,##0.00;[Red]\-&quot;R$&quot;\ #,##0.00"/>
    <numFmt numFmtId="164" formatCode="_(&quot;R$&quot;* #,##0.00_);_(&quot;R$&quot;* \(#,##0.00\);_(&quot;R$&quot;* &quot;-&quot;??_);_(@_)"/>
    <numFmt numFmtId="165" formatCode="0.00;[Red]0.00"/>
    <numFmt numFmtId="166" formatCode="0;[Red]0"/>
    <numFmt numFmtId="167" formatCode="dd/mm/yy;@"/>
    <numFmt numFmtId="168" formatCode="0.0000000"/>
    <numFmt numFmtId="169" formatCode="&quot;R$&quot;\ #,##0.00"/>
    <numFmt numFmtId="170" formatCode="0.0000"/>
    <numFmt numFmtId="171" formatCode="0.000000;[Red]0.000000"/>
  </numFmts>
  <fonts count="52" x14ac:knownFonts="1">
    <font>
      <sz val="10"/>
      <name val="Arial"/>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2"/>
      <name val="Arial"/>
      <family val="2"/>
    </font>
    <font>
      <sz val="11"/>
      <color theme="1"/>
      <name val="Garamond"/>
      <family val="1"/>
    </font>
    <font>
      <b/>
      <sz val="14"/>
      <name val="Garamond"/>
      <family val="1"/>
    </font>
    <font>
      <sz val="10"/>
      <color theme="1"/>
      <name val="Arial"/>
      <family val="2"/>
    </font>
    <font>
      <b/>
      <sz val="10"/>
      <color theme="1"/>
      <name val="Arial"/>
      <family val="2"/>
    </font>
    <font>
      <i/>
      <sz val="10"/>
      <color theme="1"/>
      <name val="Arial"/>
      <family val="2"/>
    </font>
    <font>
      <sz val="10"/>
      <color indexed="12"/>
      <name val="Arial"/>
      <family val="2"/>
    </font>
    <font>
      <b/>
      <sz val="10"/>
      <color indexed="12"/>
      <name val="Arial"/>
      <family val="2"/>
    </font>
    <font>
      <sz val="10"/>
      <color indexed="8"/>
      <name val="Arial"/>
      <family val="2"/>
    </font>
    <font>
      <sz val="14"/>
      <name val="Arial"/>
      <family val="2"/>
    </font>
    <font>
      <b/>
      <sz val="8"/>
      <color indexed="10"/>
      <name val="Arial"/>
      <family val="2"/>
    </font>
    <font>
      <b/>
      <sz val="8"/>
      <color rgb="FFFF0000"/>
      <name val="Arial"/>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sz val="12"/>
      <name val="Arial"/>
      <family val="2"/>
    </font>
    <font>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sz val="10"/>
      <name val="Arial"/>
      <family val="2"/>
    </font>
    <font>
      <b/>
      <sz val="14"/>
      <name val="Arial"/>
      <family val="2"/>
    </font>
    <font>
      <b/>
      <sz val="11"/>
      <name val="Arial"/>
      <family val="2"/>
    </font>
    <font>
      <b/>
      <sz val="12"/>
      <color theme="6" tint="-0.499984740745262"/>
      <name val="Arial"/>
      <family val="2"/>
    </font>
    <font>
      <b/>
      <sz val="13"/>
      <color theme="6" tint="-0.499984740745262"/>
      <name val="Calibri"/>
      <family val="2"/>
      <scheme val="minor"/>
    </font>
    <font>
      <b/>
      <sz val="13"/>
      <color theme="1"/>
      <name val="Calibri"/>
      <family val="2"/>
      <scheme val="minor"/>
    </font>
    <font>
      <b/>
      <sz val="11"/>
      <color theme="1"/>
      <name val="Arial"/>
      <family val="2"/>
    </font>
    <font>
      <i/>
      <sz val="10"/>
      <name val="Arial"/>
      <family val="2"/>
    </font>
    <font>
      <b/>
      <sz val="10"/>
      <color theme="4" tint="-0.249977111117893"/>
      <name val="Arial"/>
      <family val="2"/>
    </font>
    <font>
      <sz val="10"/>
      <color theme="4" tint="-0.249977111117893"/>
      <name val="Arial"/>
      <family val="2"/>
    </font>
    <font>
      <sz val="11"/>
      <color indexed="8"/>
      <name val="Calibri"/>
      <family val="2"/>
    </font>
    <font>
      <b/>
      <sz val="9"/>
      <color indexed="81"/>
      <name val="Segoe UI"/>
      <family val="2"/>
    </font>
    <font>
      <sz val="9"/>
      <color indexed="81"/>
      <name val="Segoe UI"/>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2"/>
      <color theme="4" tint="-0.499984740745262"/>
      <name val="Arial"/>
      <family val="2"/>
    </font>
    <font>
      <sz val="10"/>
      <color theme="4" tint="-0.499984740745262"/>
      <name val="Arial"/>
      <family val="2"/>
    </font>
  </fonts>
  <fills count="10">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6" tint="0.79998168889431442"/>
        <bgColor indexed="64"/>
      </patternFill>
    </fill>
    <fill>
      <patternFill patternType="solid">
        <fgColor theme="4" tint="0.79998168889431442"/>
        <bgColor indexed="64"/>
      </patternFill>
    </fill>
  </fills>
  <borders count="48">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medium">
        <color rgb="FF0070C0"/>
      </right>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ck">
        <color theme="6" tint="0.39994506668294322"/>
      </bottom>
      <diagonal/>
    </border>
    <border>
      <left style="thin">
        <color indexed="64"/>
      </left>
      <right style="thin">
        <color indexed="64"/>
      </right>
      <top style="thick">
        <color theme="6" tint="0.39994506668294322"/>
      </top>
      <bottom style="thin">
        <color indexed="64"/>
      </bottom>
      <diagonal/>
    </border>
    <border>
      <left/>
      <right/>
      <top style="medium">
        <color rgb="FF1D08B8"/>
      </top>
      <bottom/>
      <diagonal/>
    </border>
    <border>
      <left style="medium">
        <color rgb="FF1D08B8"/>
      </left>
      <right/>
      <top/>
      <bottom/>
      <diagonal/>
    </border>
    <border>
      <left style="thin">
        <color auto="1"/>
      </left>
      <right style="thin">
        <color indexed="64"/>
      </right>
      <top style="thick">
        <color theme="6" tint="0.39994506668294322"/>
      </top>
      <bottom/>
      <diagonal/>
    </border>
    <border>
      <left/>
      <right style="thin">
        <color indexed="64"/>
      </right>
      <top/>
      <bottom/>
      <diagonal/>
    </border>
    <border>
      <left/>
      <right style="thin">
        <color indexed="64"/>
      </right>
      <top style="medium">
        <color indexed="64"/>
      </top>
      <bottom style="medium">
        <color indexed="64"/>
      </bottom>
      <diagonal/>
    </border>
    <border>
      <left/>
      <right/>
      <top/>
      <bottom style="thick">
        <color theme="0" tint="-0.34998626667073579"/>
      </bottom>
      <diagonal/>
    </border>
    <border>
      <left style="thin">
        <color indexed="64"/>
      </left>
      <right style="thin">
        <color indexed="64"/>
      </right>
      <top style="thick">
        <color theme="0" tint="-0.34998626667073579"/>
      </top>
      <bottom/>
      <diagonal/>
    </border>
    <border>
      <left/>
      <right/>
      <top/>
      <bottom style="thick">
        <color theme="4" tint="0.59996337778862885"/>
      </bottom>
      <diagonal/>
    </border>
    <border>
      <left style="thin">
        <color indexed="64"/>
      </left>
      <right style="thin">
        <color indexed="64"/>
      </right>
      <top style="thick">
        <color theme="4" tint="0.59996337778862885"/>
      </top>
      <bottom/>
      <diagonal/>
    </border>
    <border>
      <left/>
      <right/>
      <top/>
      <bottom style="thick">
        <color theme="0" tint="-0.24994659260841701"/>
      </bottom>
      <diagonal/>
    </border>
  </borders>
  <cellStyleXfs count="7">
    <xf numFmtId="0" fontId="0" fillId="0" borderId="0"/>
    <xf numFmtId="164" fontId="2" fillId="0" borderId="0" applyFont="0" applyFill="0" applyBorder="0" applyAlignment="0" applyProtection="0"/>
    <xf numFmtId="9" fontId="2" fillId="0" borderId="0" applyFont="0" applyFill="0" applyBorder="0" applyAlignment="0" applyProtection="0"/>
    <xf numFmtId="0" fontId="2" fillId="0" borderId="0"/>
    <xf numFmtId="0" fontId="28" fillId="0" borderId="25" applyNumberFormat="0" applyFill="0" applyAlignment="0" applyProtection="0"/>
    <xf numFmtId="0" fontId="29" fillId="0" borderId="26" applyNumberFormat="0" applyFill="0" applyAlignment="0" applyProtection="0"/>
    <xf numFmtId="164" fontId="34" fillId="0" borderId="0" applyFont="0" applyFill="0" applyBorder="0" applyAlignment="0" applyProtection="0"/>
  </cellStyleXfs>
  <cellXfs count="448">
    <xf numFmtId="0" fontId="0" fillId="0" borderId="0" xfId="0"/>
    <xf numFmtId="0" fontId="8" fillId="0" borderId="0" xfId="0" applyFont="1" applyFill="1" applyBorder="1" applyProtection="1"/>
    <xf numFmtId="0" fontId="8" fillId="0" borderId="0" xfId="0" applyFont="1" applyFill="1" applyProtection="1"/>
    <xf numFmtId="0" fontId="8" fillId="0" borderId="0" xfId="0" applyFont="1" applyFill="1" applyAlignment="1" applyProtection="1">
      <alignment horizontal="right"/>
    </xf>
    <xf numFmtId="0" fontId="0" fillId="0" borderId="0" xfId="0" applyProtection="1"/>
    <xf numFmtId="0" fontId="2" fillId="0" borderId="0" xfId="0" applyFont="1"/>
    <xf numFmtId="4" fontId="2" fillId="2" borderId="0" xfId="0" applyNumberFormat="1" applyFont="1" applyFill="1" applyBorder="1" applyAlignment="1">
      <alignment vertical="center"/>
    </xf>
    <xf numFmtId="4" fontId="4" fillId="2" borderId="0" xfId="0" applyNumberFormat="1" applyFont="1" applyFill="1" applyBorder="1" applyAlignment="1">
      <alignment vertical="center"/>
    </xf>
    <xf numFmtId="0" fontId="2" fillId="0" borderId="0" xfId="0" applyFont="1" applyAlignment="1">
      <alignment horizontal="left" vertical="center"/>
    </xf>
    <xf numFmtId="0" fontId="4" fillId="0" borderId="0" xfId="0" applyFont="1"/>
    <xf numFmtId="2" fontId="2" fillId="0" borderId="0" xfId="0" applyNumberFormat="1" applyFont="1"/>
    <xf numFmtId="0" fontId="13" fillId="0" borderId="0" xfId="0" applyFont="1"/>
    <xf numFmtId="4" fontId="2" fillId="5" borderId="0" xfId="0" applyNumberFormat="1" applyFont="1" applyFill="1" applyBorder="1" applyAlignment="1">
      <alignment vertical="center"/>
    </xf>
    <xf numFmtId="4" fontId="2" fillId="0" borderId="0" xfId="0" applyNumberFormat="1" applyFont="1" applyFill="1" applyBorder="1" applyAlignment="1">
      <alignment horizontal="center" vertical="center"/>
    </xf>
    <xf numFmtId="0" fontId="4" fillId="5" borderId="0" xfId="0" applyFont="1" applyFill="1" applyBorder="1" applyAlignment="1" applyProtection="1">
      <alignment horizontal="center" vertical="center"/>
    </xf>
    <xf numFmtId="10" fontId="6" fillId="0" borderId="3" xfId="0" applyNumberFormat="1" applyFont="1" applyBorder="1" applyAlignment="1" applyProtection="1">
      <alignment horizontal="justify" vertical="center"/>
    </xf>
    <xf numFmtId="4" fontId="4" fillId="3" borderId="11" xfId="3" applyNumberFormat="1" applyFont="1" applyFill="1" applyBorder="1" applyAlignment="1" applyProtection="1">
      <alignment horizontal="right" vertical="center" wrapText="1" indent="1"/>
    </xf>
    <xf numFmtId="0" fontId="9" fillId="0" borderId="0" xfId="3" applyFont="1" applyFill="1" applyBorder="1" applyAlignment="1" applyProtection="1"/>
    <xf numFmtId="0" fontId="2" fillId="5" borderId="0" xfId="0" applyFont="1" applyFill="1" applyBorder="1" applyAlignment="1" applyProtection="1">
      <alignment vertical="center"/>
    </xf>
    <xf numFmtId="165" fontId="4" fillId="5" borderId="26" xfId="5" applyNumberFormat="1" applyFont="1" applyFill="1" applyBorder="1" applyAlignment="1" applyProtection="1">
      <alignment horizontal="right" vertical="center" indent="1"/>
    </xf>
    <xf numFmtId="0" fontId="10" fillId="0" borderId="3" xfId="0" applyFont="1" applyFill="1" applyBorder="1" applyAlignment="1" applyProtection="1">
      <alignment horizontal="center" vertical="center"/>
    </xf>
    <xf numFmtId="10" fontId="2" fillId="5" borderId="3" xfId="3" applyNumberFormat="1" applyFont="1" applyFill="1" applyBorder="1" applyAlignment="1" applyProtection="1">
      <alignment horizontal="center" vertical="center" wrapText="1"/>
    </xf>
    <xf numFmtId="10" fontId="2" fillId="0" borderId="3" xfId="3" applyNumberFormat="1" applyFont="1" applyFill="1" applyBorder="1" applyAlignment="1" applyProtection="1">
      <alignment horizontal="center" vertical="center"/>
    </xf>
    <xf numFmtId="0" fontId="4" fillId="5" borderId="0" xfId="0" applyFont="1" applyFill="1" applyBorder="1" applyAlignment="1" applyProtection="1">
      <alignment vertical="center" wrapText="1"/>
    </xf>
    <xf numFmtId="10" fontId="2" fillId="5" borderId="2" xfId="2"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center"/>
    </xf>
    <xf numFmtId="168" fontId="2" fillId="5" borderId="0" xfId="0" applyNumberFormat="1" applyFont="1" applyFill="1" applyBorder="1" applyAlignment="1">
      <alignment horizontal="center" vertical="center"/>
    </xf>
    <xf numFmtId="0" fontId="0" fillId="0" borderId="0" xfId="0" applyBorder="1" applyProtection="1"/>
    <xf numFmtId="0" fontId="2" fillId="5" borderId="0" xfId="0" applyFont="1" applyFill="1" applyBorder="1" applyProtection="1"/>
    <xf numFmtId="0" fontId="2" fillId="5" borderId="3" xfId="3" applyFont="1" applyFill="1" applyBorder="1" applyAlignment="1" applyProtection="1">
      <alignment horizontal="center" vertical="center" wrapText="1"/>
    </xf>
    <xf numFmtId="10" fontId="11" fillId="5" borderId="11" xfId="2" applyNumberFormat="1" applyFont="1" applyFill="1" applyBorder="1" applyAlignment="1" applyProtection="1">
      <alignment horizontal="right" indent="3"/>
    </xf>
    <xf numFmtId="0" fontId="10" fillId="5" borderId="34" xfId="0" applyFont="1" applyFill="1" applyBorder="1" applyProtection="1"/>
    <xf numFmtId="0" fontId="10" fillId="0" borderId="0" xfId="0" applyFont="1" applyFill="1" applyBorder="1" applyAlignment="1" applyProtection="1">
      <alignment horizontal="center" vertical="center"/>
    </xf>
    <xf numFmtId="4" fontId="10" fillId="0" borderId="3" xfId="0" applyNumberFormat="1" applyFont="1" applyFill="1" applyBorder="1" applyAlignment="1" applyProtection="1">
      <alignment horizontal="left" vertical="center" wrapText="1"/>
    </xf>
    <xf numFmtId="0" fontId="2" fillId="0" borderId="0" xfId="0" applyFont="1" applyAlignment="1">
      <alignment horizontal="left" vertical="center" wrapText="1"/>
    </xf>
    <xf numFmtId="0" fontId="4" fillId="5" borderId="0" xfId="0" applyFont="1" applyFill="1" applyBorder="1" applyAlignment="1" applyProtection="1">
      <alignment horizontal="center" vertical="center" wrapText="1"/>
    </xf>
    <xf numFmtId="0" fontId="2" fillId="0" borderId="0" xfId="0" applyFont="1" applyAlignment="1">
      <alignment vertical="center" wrapText="1"/>
    </xf>
    <xf numFmtId="0" fontId="14" fillId="0" borderId="0" xfId="0" applyFont="1" applyAlignment="1">
      <alignment vertical="center" wrapText="1"/>
    </xf>
    <xf numFmtId="0" fontId="8" fillId="0" borderId="0" xfId="0" applyFont="1" applyFill="1" applyAlignment="1" applyProtection="1"/>
    <xf numFmtId="4" fontId="10" fillId="0" borderId="3" xfId="0" applyNumberFormat="1" applyFont="1" applyFill="1" applyBorder="1" applyAlignment="1" applyProtection="1">
      <alignment horizontal="right" vertical="center" indent="2"/>
    </xf>
    <xf numFmtId="4" fontId="2" fillId="5" borderId="3" xfId="0" applyNumberFormat="1" applyFont="1" applyFill="1" applyBorder="1" applyAlignment="1" applyProtection="1">
      <alignment horizontal="right" vertical="center" indent="2"/>
    </xf>
    <xf numFmtId="0" fontId="10" fillId="0" borderId="3" xfId="0" applyFont="1" applyFill="1" applyBorder="1" applyAlignment="1" applyProtection="1">
      <alignment horizontal="left" vertical="center" wrapText="1"/>
    </xf>
    <xf numFmtId="0" fontId="21" fillId="5" borderId="0" xfId="0" applyFont="1" applyFill="1" applyBorder="1" applyProtection="1"/>
    <xf numFmtId="0" fontId="10" fillId="5" borderId="0" xfId="0" applyFont="1" applyFill="1" applyBorder="1" applyProtection="1"/>
    <xf numFmtId="0" fontId="11" fillId="0" borderId="29" xfId="0" applyFont="1" applyBorder="1" applyAlignment="1" applyProtection="1">
      <alignment horizontal="center"/>
    </xf>
    <xf numFmtId="0" fontId="11" fillId="0" borderId="30" xfId="0" applyFont="1" applyBorder="1" applyAlignment="1" applyProtection="1">
      <alignment horizontal="center"/>
    </xf>
    <xf numFmtId="0" fontId="10" fillId="5" borderId="12" xfId="0" applyFont="1" applyFill="1" applyBorder="1" applyProtection="1"/>
    <xf numFmtId="0" fontId="10" fillId="5" borderId="4" xfId="0" applyFont="1" applyFill="1" applyBorder="1" applyProtection="1"/>
    <xf numFmtId="0" fontId="11" fillId="0" borderId="10" xfId="0" applyFont="1" applyBorder="1" applyProtection="1"/>
    <xf numFmtId="0" fontId="11" fillId="5" borderId="0" xfId="0" applyFont="1" applyFill="1" applyBorder="1" applyProtection="1"/>
    <xf numFmtId="10" fontId="11" fillId="5" borderId="0" xfId="2" applyNumberFormat="1" applyFont="1" applyFill="1" applyBorder="1" applyAlignment="1" applyProtection="1">
      <alignment horizontal="right" indent="4"/>
    </xf>
    <xf numFmtId="0" fontId="23" fillId="5" borderId="31" xfId="0" applyFont="1" applyFill="1" applyBorder="1" applyProtection="1"/>
    <xf numFmtId="0" fontId="10" fillId="5" borderId="31" xfId="0" applyFont="1" applyFill="1" applyBorder="1" applyProtection="1"/>
    <xf numFmtId="0" fontId="2" fillId="0" borderId="0" xfId="0" applyFont="1" applyBorder="1" applyProtection="1"/>
    <xf numFmtId="0" fontId="2" fillId="0" borderId="0" xfId="0" applyFont="1" applyBorder="1" applyAlignment="1" applyProtection="1">
      <alignment vertical="center" wrapText="1"/>
    </xf>
    <xf numFmtId="0" fontId="4" fillId="0" borderId="3" xfId="0" applyFont="1" applyBorder="1" applyAlignment="1" applyProtection="1">
      <alignment horizontal="center" vertical="center" wrapText="1"/>
    </xf>
    <xf numFmtId="0" fontId="4" fillId="2" borderId="18" xfId="0" applyFont="1" applyFill="1" applyBorder="1" applyAlignment="1" applyProtection="1">
      <alignment vertical="center"/>
    </xf>
    <xf numFmtId="10" fontId="2" fillId="5" borderId="3" xfId="2" applyNumberFormat="1" applyFont="1" applyFill="1" applyBorder="1" applyAlignment="1" applyProtection="1">
      <alignment horizontal="center" vertical="center" wrapText="1"/>
    </xf>
    <xf numFmtId="2" fontId="2" fillId="0" borderId="3" xfId="0" applyNumberFormat="1" applyFont="1" applyBorder="1" applyAlignment="1" applyProtection="1">
      <alignment horizontal="right" vertical="center" indent="2"/>
    </xf>
    <xf numFmtId="4" fontId="4" fillId="5" borderId="0" xfId="0" applyNumberFormat="1" applyFont="1" applyFill="1" applyBorder="1" applyAlignment="1" applyProtection="1">
      <alignment horizontal="center"/>
    </xf>
    <xf numFmtId="0" fontId="28" fillId="0" borderId="25" xfId="4" applyFill="1" applyBorder="1" applyAlignment="1" applyProtection="1"/>
    <xf numFmtId="4" fontId="2" fillId="5" borderId="0" xfId="0" applyNumberFormat="1" applyFont="1" applyFill="1" applyBorder="1" applyAlignment="1">
      <alignment horizontal="center" vertical="center"/>
    </xf>
    <xf numFmtId="0" fontId="28" fillId="0" borderId="25" xfId="4" applyFill="1" applyBorder="1" applyAlignment="1" applyProtection="1">
      <alignment horizontal="left"/>
    </xf>
    <xf numFmtId="0" fontId="2" fillId="3" borderId="3" xfId="3" applyFont="1" applyFill="1" applyBorder="1" applyAlignment="1" applyProtection="1">
      <alignment horizontal="center" vertical="center" wrapText="1"/>
    </xf>
    <xf numFmtId="0" fontId="2" fillId="5" borderId="0" xfId="0" applyFont="1" applyFill="1" applyBorder="1" applyAlignment="1" applyProtection="1">
      <alignment horizontal="center"/>
    </xf>
    <xf numFmtId="0" fontId="21" fillId="5" borderId="0" xfId="3" applyFont="1" applyFill="1" applyBorder="1" applyAlignment="1" applyProtection="1">
      <alignment vertical="center" wrapText="1"/>
    </xf>
    <xf numFmtId="0" fontId="35" fillId="5" borderId="0" xfId="3" applyFont="1" applyFill="1" applyBorder="1" applyAlignment="1" applyProtection="1">
      <alignment vertical="center" wrapText="1"/>
    </xf>
    <xf numFmtId="0" fontId="20" fillId="4" borderId="3" xfId="3" applyFont="1" applyFill="1" applyBorder="1" applyAlignment="1" applyProtection="1">
      <alignment horizontal="center" vertical="center" wrapText="1"/>
    </xf>
    <xf numFmtId="0" fontId="23" fillId="5" borderId="36" xfId="3" applyFont="1" applyFill="1" applyBorder="1" applyAlignment="1" applyProtection="1">
      <alignment vertical="center"/>
    </xf>
    <xf numFmtId="4" fontId="23" fillId="5" borderId="36" xfId="3" applyNumberFormat="1" applyFont="1" applyFill="1" applyBorder="1" applyAlignment="1" applyProtection="1">
      <alignment horizontal="right" vertical="center"/>
    </xf>
    <xf numFmtId="0" fontId="20" fillId="4" borderId="37" xfId="3" applyFont="1" applyFill="1" applyBorder="1" applyAlignment="1" applyProtection="1">
      <alignment horizontal="center" vertical="center" wrapText="1"/>
    </xf>
    <xf numFmtId="166" fontId="2" fillId="5" borderId="3" xfId="6" applyNumberFormat="1" applyFont="1" applyFill="1" applyBorder="1" applyAlignment="1" applyProtection="1">
      <alignment horizontal="center" vertical="center"/>
    </xf>
    <xf numFmtId="4" fontId="2" fillId="0" borderId="6" xfId="6" applyNumberFormat="1" applyFont="1" applyBorder="1" applyAlignment="1" applyProtection="1">
      <alignment horizontal="right" vertical="center" indent="1"/>
    </xf>
    <xf numFmtId="0" fontId="2" fillId="4" borderId="3" xfId="3" applyFont="1" applyFill="1" applyBorder="1" applyAlignment="1" applyProtection="1">
      <alignment horizontal="center" vertical="center" wrapText="1"/>
    </xf>
    <xf numFmtId="166" fontId="2" fillId="4" borderId="3" xfId="6" applyNumberFormat="1" applyFont="1" applyFill="1" applyBorder="1" applyAlignment="1" applyProtection="1">
      <alignment horizontal="center" vertical="center"/>
    </xf>
    <xf numFmtId="0" fontId="2" fillId="5" borderId="0" xfId="3" applyFont="1" applyFill="1" applyBorder="1" applyAlignment="1" applyProtection="1">
      <alignment vertical="center"/>
    </xf>
    <xf numFmtId="0" fontId="0" fillId="0" borderId="38" xfId="0" applyBorder="1"/>
    <xf numFmtId="0" fontId="0" fillId="0" borderId="0" xfId="0" applyBorder="1"/>
    <xf numFmtId="0" fontId="2" fillId="5" borderId="0" xfId="3" applyFont="1" applyFill="1" applyBorder="1" applyProtection="1"/>
    <xf numFmtId="4" fontId="2" fillId="5" borderId="0" xfId="3" applyNumberFormat="1" applyFont="1" applyFill="1" applyBorder="1" applyAlignment="1" applyProtection="1">
      <alignment horizontal="right" indent="1"/>
    </xf>
    <xf numFmtId="0" fontId="0" fillId="0" borderId="39" xfId="0" applyBorder="1"/>
    <xf numFmtId="0" fontId="4" fillId="5" borderId="0" xfId="3" applyFont="1" applyFill="1" applyBorder="1" applyAlignment="1" applyProtection="1">
      <alignment horizontal="right" vertical="center"/>
    </xf>
    <xf numFmtId="4" fontId="2" fillId="0" borderId="3" xfId="0" applyNumberFormat="1" applyFont="1" applyFill="1" applyBorder="1" applyAlignment="1" applyProtection="1">
      <alignment horizontal="right" vertical="center" indent="1"/>
    </xf>
    <xf numFmtId="2" fontId="2" fillId="0" borderId="3" xfId="3" applyNumberFormat="1" applyFont="1" applyFill="1" applyBorder="1" applyAlignment="1" applyProtection="1">
      <alignment horizontal="right" vertical="center" wrapText="1" indent="1"/>
    </xf>
    <xf numFmtId="4" fontId="2" fillId="0" borderId="3" xfId="3" applyNumberFormat="1" applyFont="1" applyFill="1" applyBorder="1" applyAlignment="1" applyProtection="1">
      <alignment horizontal="right" vertical="center" wrapText="1" indent="1"/>
    </xf>
    <xf numFmtId="4" fontId="2" fillId="5" borderId="3" xfId="3" applyNumberFormat="1" applyFont="1" applyFill="1" applyBorder="1" applyAlignment="1" applyProtection="1">
      <alignment horizontal="right" vertical="center" wrapText="1" indent="1"/>
    </xf>
    <xf numFmtId="0" fontId="2" fillId="5" borderId="40" xfId="3" applyFont="1" applyFill="1" applyBorder="1" applyAlignment="1" applyProtection="1">
      <alignment horizontal="left" vertical="center" wrapText="1"/>
    </xf>
    <xf numFmtId="0" fontId="2" fillId="5" borderId="3" xfId="3" applyFont="1" applyFill="1" applyBorder="1" applyAlignment="1" applyProtection="1">
      <alignment vertical="center" wrapText="1"/>
    </xf>
    <xf numFmtId="0" fontId="2" fillId="4" borderId="3" xfId="3" applyFont="1" applyFill="1" applyBorder="1" applyAlignment="1" applyProtection="1">
      <alignment vertical="center" wrapText="1"/>
    </xf>
    <xf numFmtId="0" fontId="20" fillId="4" borderId="2" xfId="3" applyFont="1" applyFill="1" applyBorder="1" applyAlignment="1" applyProtection="1">
      <alignment horizontal="center" vertical="center" wrapText="1"/>
    </xf>
    <xf numFmtId="4" fontId="2" fillId="6" borderId="6" xfId="1" applyNumberFormat="1" applyFont="1" applyFill="1" applyBorder="1" applyAlignment="1" applyProtection="1">
      <alignment horizontal="right" vertical="center" indent="1"/>
      <protection locked="0"/>
    </xf>
    <xf numFmtId="169" fontId="4" fillId="3" borderId="11" xfId="3" applyNumberFormat="1" applyFont="1" applyFill="1" applyBorder="1" applyAlignment="1" applyProtection="1">
      <alignment horizontal="right" vertical="center" wrapText="1" indent="1"/>
    </xf>
    <xf numFmtId="169" fontId="4" fillId="4" borderId="3" xfId="0" applyNumberFormat="1" applyFont="1" applyFill="1" applyBorder="1" applyAlignment="1" applyProtection="1">
      <alignment horizontal="right" vertical="center" indent="2"/>
    </xf>
    <xf numFmtId="169" fontId="4" fillId="0" borderId="3" xfId="3" applyNumberFormat="1" applyFont="1" applyFill="1" applyBorder="1" applyAlignment="1" applyProtection="1">
      <alignment horizontal="right" vertical="center" wrapText="1" indent="1"/>
    </xf>
    <xf numFmtId="0" fontId="38" fillId="5" borderId="36" xfId="4" applyFont="1" applyFill="1" applyBorder="1" applyAlignment="1" applyProtection="1">
      <alignment horizontal="left" vertical="center"/>
    </xf>
    <xf numFmtId="0" fontId="38" fillId="0" borderId="36" xfId="4" applyFont="1" applyBorder="1" applyProtection="1"/>
    <xf numFmtId="0" fontId="38" fillId="5" borderId="36" xfId="4" applyFont="1" applyFill="1" applyBorder="1" applyAlignment="1" applyProtection="1">
      <alignment vertical="center" wrapText="1"/>
    </xf>
    <xf numFmtId="0" fontId="38" fillId="5" borderId="0" xfId="4" applyFont="1" applyFill="1" applyBorder="1" applyAlignment="1" applyProtection="1">
      <alignment horizontal="left" vertical="center"/>
    </xf>
    <xf numFmtId="0" fontId="0" fillId="0" borderId="0" xfId="0" applyBorder="1" applyAlignment="1" applyProtection="1">
      <alignment vertical="center"/>
    </xf>
    <xf numFmtId="0" fontId="0" fillId="0" borderId="0" xfId="0" applyAlignment="1" applyProtection="1">
      <alignment vertical="center"/>
    </xf>
    <xf numFmtId="0" fontId="10" fillId="0" borderId="0" xfId="0" applyFont="1" applyFill="1" applyBorder="1" applyAlignment="1" applyProtection="1">
      <alignment horizontal="left" vertical="center" wrapText="1"/>
    </xf>
    <xf numFmtId="4" fontId="2" fillId="0" borderId="0" xfId="0" applyNumberFormat="1" applyFont="1" applyFill="1" applyBorder="1" applyAlignment="1" applyProtection="1">
      <alignment horizontal="right" vertical="center" indent="1"/>
    </xf>
    <xf numFmtId="2" fontId="10" fillId="5" borderId="0" xfId="0" applyNumberFormat="1" applyFont="1" applyFill="1" applyBorder="1" applyAlignment="1" applyProtection="1">
      <alignment horizontal="right" vertical="center" indent="1"/>
    </xf>
    <xf numFmtId="2" fontId="2" fillId="5" borderId="0" xfId="3" applyNumberFormat="1" applyFont="1" applyFill="1" applyBorder="1" applyAlignment="1" applyProtection="1">
      <alignment horizontal="right" vertical="center" wrapText="1" indent="1"/>
    </xf>
    <xf numFmtId="4" fontId="40" fillId="5" borderId="0" xfId="0" applyNumberFormat="1" applyFont="1" applyFill="1" applyBorder="1" applyAlignment="1" applyProtection="1">
      <alignment horizontal="right" vertical="center"/>
    </xf>
    <xf numFmtId="0" fontId="27" fillId="5" borderId="0" xfId="3" applyFont="1" applyFill="1" applyBorder="1" applyAlignment="1" applyProtection="1">
      <alignment horizontal="center" vertical="center"/>
    </xf>
    <xf numFmtId="0" fontId="4" fillId="5" borderId="0" xfId="3" applyFont="1" applyFill="1" applyBorder="1" applyAlignment="1" applyProtection="1">
      <alignment horizontal="center" vertical="center" wrapText="1"/>
    </xf>
    <xf numFmtId="167" fontId="4" fillId="3" borderId="3" xfId="3" applyNumberFormat="1" applyFont="1" applyFill="1" applyBorder="1" applyAlignment="1" applyProtection="1">
      <alignment horizontal="center" vertical="center" wrapText="1"/>
    </xf>
    <xf numFmtId="4" fontId="32" fillId="0" borderId="0" xfId="0" applyNumberFormat="1" applyFont="1" applyFill="1" applyBorder="1" applyAlignment="1" applyProtection="1">
      <alignment horizontal="right" vertical="center" indent="1"/>
    </xf>
    <xf numFmtId="2" fontId="10" fillId="0" borderId="0" xfId="0" applyNumberFormat="1" applyFont="1" applyFill="1" applyBorder="1" applyAlignment="1" applyProtection="1">
      <alignment horizontal="right" vertical="center" indent="1"/>
    </xf>
    <xf numFmtId="0" fontId="39" fillId="5" borderId="36" xfId="4" applyFont="1" applyFill="1" applyBorder="1" applyProtection="1"/>
    <xf numFmtId="0" fontId="39" fillId="5" borderId="0" xfId="4" applyFont="1" applyFill="1" applyBorder="1" applyProtection="1"/>
    <xf numFmtId="0" fontId="4" fillId="3" borderId="3" xfId="0" applyFont="1" applyFill="1" applyBorder="1" applyAlignment="1" applyProtection="1">
      <alignment horizontal="center" wrapText="1"/>
    </xf>
    <xf numFmtId="0" fontId="2" fillId="0" borderId="3" xfId="0" applyFont="1" applyBorder="1" applyAlignment="1" applyProtection="1">
      <alignment horizontal="center" vertical="center" wrapText="1"/>
    </xf>
    <xf numFmtId="0" fontId="4" fillId="0" borderId="0" xfId="0" applyFont="1" applyBorder="1" applyAlignment="1" applyProtection="1">
      <alignment horizontal="left"/>
    </xf>
    <xf numFmtId="169" fontId="4" fillId="0" borderId="24" xfId="0" applyNumberFormat="1" applyFont="1" applyBorder="1" applyAlignment="1" applyProtection="1">
      <alignment vertical="center"/>
    </xf>
    <xf numFmtId="169" fontId="4" fillId="0" borderId="0" xfId="0" applyNumberFormat="1" applyFont="1" applyBorder="1" applyAlignment="1" applyProtection="1">
      <alignment vertical="center"/>
    </xf>
    <xf numFmtId="0" fontId="4" fillId="4" borderId="3" xfId="3" applyFont="1" applyFill="1" applyBorder="1" applyAlignment="1" applyProtection="1">
      <alignment horizontal="center" vertical="center" wrapText="1"/>
    </xf>
    <xf numFmtId="0" fontId="4" fillId="4" borderId="37" xfId="3" applyFont="1" applyFill="1" applyBorder="1" applyAlignment="1" applyProtection="1">
      <alignment horizontal="center" vertical="center" wrapText="1"/>
    </xf>
    <xf numFmtId="4" fontId="2" fillId="0" borderId="3" xfId="3" applyNumberFormat="1" applyFont="1" applyBorder="1" applyAlignment="1" applyProtection="1">
      <alignment horizontal="right" vertical="center" indent="1"/>
      <protection locked="0"/>
    </xf>
    <xf numFmtId="4" fontId="2" fillId="4" borderId="3" xfId="3" applyNumberFormat="1" applyFont="1" applyFill="1" applyBorder="1" applyAlignment="1" applyProtection="1">
      <alignment horizontal="right" vertical="center" indent="1"/>
      <protection locked="0"/>
    </xf>
    <xf numFmtId="169" fontId="2" fillId="0" borderId="3" xfId="0" applyNumberFormat="1" applyFont="1" applyBorder="1" applyAlignment="1" applyProtection="1">
      <alignment vertical="center"/>
    </xf>
    <xf numFmtId="0" fontId="41" fillId="0" borderId="0" xfId="0" applyFont="1" applyAlignment="1" applyProtection="1">
      <alignment vertical="center"/>
    </xf>
    <xf numFmtId="0" fontId="0" fillId="7" borderId="0" xfId="0" applyFill="1" applyAlignment="1">
      <alignment horizontal="left" vertical="center"/>
    </xf>
    <xf numFmtId="0" fontId="2" fillId="7" borderId="0" xfId="0" applyFont="1" applyFill="1" applyAlignment="1">
      <alignment horizontal="left" vertical="center"/>
    </xf>
    <xf numFmtId="0" fontId="2" fillId="7" borderId="0" xfId="0" applyFont="1" applyFill="1"/>
    <xf numFmtId="0" fontId="0" fillId="7" borderId="0" xfId="0" applyFill="1" applyBorder="1"/>
    <xf numFmtId="0" fontId="25" fillId="7" borderId="0" xfId="3" applyFont="1" applyFill="1" applyBorder="1" applyAlignment="1" applyProtection="1">
      <alignment horizontal="center" vertical="center"/>
    </xf>
    <xf numFmtId="0" fontId="8" fillId="7" borderId="0" xfId="0" applyFont="1" applyFill="1" applyBorder="1" applyProtection="1"/>
    <xf numFmtId="0" fontId="4" fillId="5" borderId="0" xfId="0" applyFont="1" applyFill="1" applyBorder="1" applyAlignment="1" applyProtection="1">
      <alignment horizontal="left" vertical="center" wrapText="1"/>
    </xf>
    <xf numFmtId="0" fontId="4" fillId="5" borderId="0" xfId="3" applyFont="1" applyFill="1" applyBorder="1" applyAlignment="1" applyProtection="1">
      <alignment horizontal="center" vertical="center"/>
    </xf>
    <xf numFmtId="0" fontId="4" fillId="2" borderId="3"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2" fillId="5" borderId="0" xfId="3" applyFont="1" applyFill="1" applyBorder="1" applyAlignment="1" applyProtection="1">
      <alignment horizontal="center" vertical="center" wrapText="1"/>
    </xf>
    <xf numFmtId="49" fontId="2" fillId="6" borderId="3" xfId="3" applyNumberFormat="1" applyFont="1" applyFill="1" applyBorder="1" applyAlignment="1" applyProtection="1">
      <alignment horizontal="center" vertical="center" wrapText="1"/>
    </xf>
    <xf numFmtId="0" fontId="4" fillId="0" borderId="0" xfId="0" applyFont="1" applyBorder="1" applyAlignment="1" applyProtection="1"/>
    <xf numFmtId="0" fontId="4" fillId="6" borderId="3" xfId="0" applyFont="1" applyFill="1" applyBorder="1" applyAlignment="1" applyProtection="1">
      <alignment horizontal="center" vertical="center"/>
    </xf>
    <xf numFmtId="0" fontId="10" fillId="0" borderId="2" xfId="0" applyFont="1" applyFill="1" applyBorder="1" applyAlignment="1" applyProtection="1">
      <alignment horizontal="center" vertical="center"/>
    </xf>
    <xf numFmtId="0" fontId="10" fillId="0" borderId="2" xfId="0" applyFont="1" applyFill="1" applyBorder="1" applyAlignment="1" applyProtection="1">
      <alignment horizontal="left" vertical="center" wrapText="1"/>
    </xf>
    <xf numFmtId="4" fontId="2" fillId="0" borderId="2" xfId="0" applyNumberFormat="1" applyFont="1" applyFill="1" applyBorder="1" applyAlignment="1" applyProtection="1">
      <alignment horizontal="right" vertical="center" indent="1"/>
    </xf>
    <xf numFmtId="2" fontId="2" fillId="0" borderId="2" xfId="3" applyNumberFormat="1" applyFont="1" applyFill="1" applyBorder="1" applyAlignment="1" applyProtection="1">
      <alignment horizontal="right" vertical="center" wrapText="1" indent="1"/>
    </xf>
    <xf numFmtId="4" fontId="2" fillId="0" borderId="2" xfId="3" applyNumberFormat="1" applyFont="1" applyFill="1" applyBorder="1" applyAlignment="1" applyProtection="1">
      <alignment horizontal="right" vertical="center" wrapText="1" indent="1"/>
    </xf>
    <xf numFmtId="4" fontId="2" fillId="5" borderId="2" xfId="3" applyNumberFormat="1" applyFont="1" applyFill="1" applyBorder="1" applyAlignment="1" applyProtection="1">
      <alignment horizontal="right" vertical="center" wrapText="1" indent="1"/>
    </xf>
    <xf numFmtId="169" fontId="4" fillId="0" borderId="2" xfId="3" applyNumberFormat="1" applyFont="1" applyFill="1" applyBorder="1" applyAlignment="1" applyProtection="1">
      <alignment horizontal="right" vertical="center" wrapText="1" indent="1"/>
    </xf>
    <xf numFmtId="0" fontId="12" fillId="5" borderId="8" xfId="0" applyFont="1" applyFill="1" applyBorder="1" applyAlignment="1" applyProtection="1">
      <alignment horizontal="left"/>
    </xf>
    <xf numFmtId="0" fontId="10" fillId="5" borderId="8" xfId="0" applyFont="1" applyFill="1" applyBorder="1" applyAlignment="1" applyProtection="1">
      <alignment horizontal="center"/>
    </xf>
    <xf numFmtId="0" fontId="4" fillId="5" borderId="8" xfId="3" applyFont="1" applyFill="1" applyBorder="1" applyAlignment="1" applyProtection="1">
      <alignment horizontal="center" vertical="center" wrapText="1"/>
    </xf>
    <xf numFmtId="0" fontId="38" fillId="5" borderId="36" xfId="4" applyFont="1" applyFill="1" applyBorder="1" applyAlignment="1" applyProtection="1">
      <alignment horizontal="left"/>
    </xf>
    <xf numFmtId="0" fontId="42" fillId="0" borderId="0" xfId="0" applyFont="1" applyBorder="1" applyAlignment="1" applyProtection="1"/>
    <xf numFmtId="0" fontId="0" fillId="5" borderId="0" xfId="0" applyFill="1" applyBorder="1" applyAlignment="1" applyProtection="1">
      <alignment horizontal="center" vertical="center"/>
    </xf>
    <xf numFmtId="0" fontId="0" fillId="5" borderId="0" xfId="0" applyFill="1" applyProtection="1"/>
    <xf numFmtId="0" fontId="0" fillId="5" borderId="0" xfId="0" applyFill="1" applyBorder="1" applyProtection="1"/>
    <xf numFmtId="169" fontId="0" fillId="5" borderId="0" xfId="0" applyNumberFormat="1" applyFill="1" applyBorder="1" applyAlignment="1" applyProtection="1">
      <alignment vertical="center"/>
    </xf>
    <xf numFmtId="0" fontId="2" fillId="5" borderId="0" xfId="3" applyFont="1" applyFill="1" applyBorder="1" applyAlignment="1" applyProtection="1">
      <alignment horizontal="right" vertical="center" indent="1"/>
    </xf>
    <xf numFmtId="0" fontId="6" fillId="5" borderId="0" xfId="3" applyFont="1" applyFill="1" applyBorder="1" applyAlignment="1" applyProtection="1">
      <alignment vertical="center"/>
    </xf>
    <xf numFmtId="0" fontId="2" fillId="5" borderId="0" xfId="3" applyFont="1" applyFill="1" applyBorder="1" applyAlignment="1" applyProtection="1">
      <alignment horizontal="left" vertical="center"/>
    </xf>
    <xf numFmtId="0" fontId="4" fillId="5" borderId="0" xfId="3" applyFont="1" applyFill="1" applyBorder="1" applyAlignment="1" applyProtection="1">
      <alignment horizontal="left" vertical="center"/>
    </xf>
    <xf numFmtId="165" fontId="2" fillId="5" borderId="0" xfId="3" applyNumberFormat="1" applyFont="1" applyFill="1" applyBorder="1" applyAlignment="1" applyProtection="1">
      <alignment horizontal="right" vertical="center" indent="1"/>
    </xf>
    <xf numFmtId="0" fontId="30" fillId="5" borderId="18" xfId="3" applyFont="1" applyFill="1" applyBorder="1" applyAlignment="1" applyProtection="1">
      <alignment horizontal="center"/>
    </xf>
    <xf numFmtId="10" fontId="6" fillId="0" borderId="3" xfId="3" applyNumberFormat="1" applyFont="1" applyBorder="1" applyAlignment="1" applyProtection="1">
      <alignment horizontal="justify" vertical="center"/>
    </xf>
    <xf numFmtId="0" fontId="2" fillId="0" borderId="3" xfId="3" applyFont="1" applyBorder="1" applyAlignment="1" applyProtection="1">
      <alignment horizontal="center" vertical="center" wrapText="1"/>
    </xf>
    <xf numFmtId="4" fontId="2" fillId="5" borderId="3" xfId="3" applyNumberFormat="1" applyFont="1" applyFill="1" applyBorder="1" applyAlignment="1" applyProtection="1">
      <alignment horizontal="right" vertical="center" indent="1"/>
    </xf>
    <xf numFmtId="10" fontId="6" fillId="0" borderId="15" xfId="3" applyNumberFormat="1" applyFont="1" applyBorder="1" applyAlignment="1" applyProtection="1">
      <alignment horizontal="justify" vertical="center"/>
    </xf>
    <xf numFmtId="10" fontId="6" fillId="5" borderId="0" xfId="3" applyNumberFormat="1" applyFont="1" applyFill="1" applyBorder="1" applyAlignment="1" applyProtection="1">
      <alignment horizontal="justify" vertical="center"/>
    </xf>
    <xf numFmtId="4" fontId="4" fillId="5" borderId="1" xfId="3" applyNumberFormat="1" applyFont="1" applyFill="1" applyBorder="1" applyAlignment="1" applyProtection="1">
      <alignment horizontal="right" vertical="center" indent="1"/>
    </xf>
    <xf numFmtId="0" fontId="6" fillId="0" borderId="3" xfId="3" applyFont="1" applyBorder="1" applyAlignment="1" applyProtection="1">
      <alignment vertical="center"/>
    </xf>
    <xf numFmtId="4" fontId="2" fillId="5" borderId="19" xfId="3" applyNumberFormat="1" applyFont="1" applyFill="1" applyBorder="1" applyAlignment="1" applyProtection="1">
      <alignment horizontal="right" vertical="center" indent="1"/>
    </xf>
    <xf numFmtId="0" fontId="6" fillId="0" borderId="3" xfId="3" applyFont="1" applyBorder="1" applyAlignment="1" applyProtection="1">
      <alignment horizontal="justify" vertical="center"/>
    </xf>
    <xf numFmtId="10" fontId="6" fillId="5" borderId="15" xfId="3" applyNumberFormat="1" applyFont="1" applyFill="1" applyBorder="1" applyAlignment="1" applyProtection="1">
      <alignment horizontal="justify" vertical="center"/>
    </xf>
    <xf numFmtId="10" fontId="6" fillId="0" borderId="0" xfId="3" applyNumberFormat="1" applyFont="1" applyBorder="1" applyAlignment="1" applyProtection="1">
      <alignment horizontal="justify" vertical="center"/>
    </xf>
    <xf numFmtId="4" fontId="2" fillId="5" borderId="5" xfId="3" applyNumberFormat="1" applyFont="1" applyFill="1" applyBorder="1" applyAlignment="1" applyProtection="1">
      <alignment horizontal="right" vertical="center" indent="1"/>
    </xf>
    <xf numFmtId="165" fontId="2" fillId="0" borderId="3" xfId="3" applyNumberFormat="1" applyFont="1" applyFill="1" applyBorder="1" applyAlignment="1" applyProtection="1">
      <alignment horizontal="right" vertical="center" indent="1"/>
    </xf>
    <xf numFmtId="0" fontId="6" fillId="0" borderId="3" xfId="3" applyFont="1" applyBorder="1" applyAlignment="1" applyProtection="1">
      <alignment vertical="center" shrinkToFit="1"/>
    </xf>
    <xf numFmtId="2" fontId="2" fillId="0" borderId="3" xfId="3" applyNumberFormat="1" applyFont="1" applyFill="1" applyBorder="1" applyAlignment="1" applyProtection="1">
      <alignment horizontal="right" vertical="center" indent="1"/>
    </xf>
    <xf numFmtId="0" fontId="18" fillId="0" borderId="3" xfId="3" applyFont="1" applyBorder="1" applyAlignment="1" applyProtection="1">
      <alignment vertical="center"/>
    </xf>
    <xf numFmtId="10" fontId="6" fillId="5" borderId="3" xfId="3" applyNumberFormat="1" applyFont="1" applyFill="1" applyBorder="1" applyAlignment="1" applyProtection="1">
      <alignment horizontal="justify" vertical="center"/>
    </xf>
    <xf numFmtId="0" fontId="4" fillId="5" borderId="0" xfId="3" applyFont="1" applyFill="1" applyBorder="1" applyAlignment="1" applyProtection="1">
      <alignment horizontal="left"/>
    </xf>
    <xf numFmtId="165" fontId="4" fillId="5" borderId="3" xfId="3" applyNumberFormat="1" applyFont="1" applyFill="1" applyBorder="1" applyAlignment="1" applyProtection="1">
      <alignment horizontal="right" vertical="center" indent="1"/>
    </xf>
    <xf numFmtId="0" fontId="6" fillId="5" borderId="3" xfId="3" applyFont="1" applyFill="1" applyBorder="1" applyAlignment="1" applyProtection="1">
      <alignment vertical="center"/>
    </xf>
    <xf numFmtId="165" fontId="2" fillId="5" borderId="5" xfId="3" applyNumberFormat="1" applyFont="1" applyFill="1" applyBorder="1" applyAlignment="1" applyProtection="1">
      <alignment horizontal="right" vertical="center" indent="1"/>
    </xf>
    <xf numFmtId="0" fontId="6" fillId="0" borderId="3" xfId="3" applyFont="1" applyBorder="1" applyAlignment="1" applyProtection="1">
      <alignment vertical="center" wrapText="1"/>
    </xf>
    <xf numFmtId="0" fontId="5" fillId="5" borderId="0" xfId="3" applyFont="1" applyFill="1" applyBorder="1" applyAlignment="1" applyProtection="1">
      <alignment horizontal="center" vertical="center"/>
    </xf>
    <xf numFmtId="0" fontId="44" fillId="5" borderId="0" xfId="3" applyFont="1" applyFill="1" applyBorder="1" applyAlignment="1" applyProtection="1">
      <alignment horizontal="left" vertical="center"/>
    </xf>
    <xf numFmtId="0" fontId="1" fillId="5" borderId="0" xfId="3" applyFont="1" applyFill="1" applyBorder="1" applyAlignment="1" applyProtection="1">
      <alignment horizontal="left" vertical="center" wrapText="1"/>
    </xf>
    <xf numFmtId="0" fontId="0" fillId="5" borderId="0" xfId="0" applyFill="1" applyBorder="1" applyAlignment="1" applyProtection="1">
      <alignment vertical="center" wrapText="1"/>
    </xf>
    <xf numFmtId="4" fontId="4" fillId="5" borderId="0" xfId="0" applyNumberFormat="1" applyFont="1" applyFill="1" applyBorder="1" applyAlignment="1" applyProtection="1">
      <alignment horizontal="center" vertical="center" wrapText="1"/>
    </xf>
    <xf numFmtId="4" fontId="2" fillId="6" borderId="3" xfId="3" applyNumberFormat="1" applyFont="1" applyFill="1" applyBorder="1" applyAlignment="1" applyProtection="1">
      <alignment horizontal="right" vertical="center" indent="1"/>
    </xf>
    <xf numFmtId="165" fontId="2" fillId="6" borderId="5" xfId="3" applyNumberFormat="1" applyFont="1" applyFill="1" applyBorder="1" applyAlignment="1" applyProtection="1">
      <alignment horizontal="right" vertical="center" indent="1"/>
    </xf>
    <xf numFmtId="165" fontId="2" fillId="6" borderId="3" xfId="3" applyNumberFormat="1" applyFont="1" applyFill="1" applyBorder="1" applyAlignment="1" applyProtection="1">
      <alignment horizontal="right" vertical="center" indent="1"/>
    </xf>
    <xf numFmtId="4" fontId="2" fillId="6" borderId="1" xfId="3" applyNumberFormat="1" applyFont="1" applyFill="1" applyBorder="1" applyAlignment="1" applyProtection="1">
      <alignment horizontal="right" vertical="center" indent="1"/>
    </xf>
    <xf numFmtId="0" fontId="2" fillId="6" borderId="3" xfId="3" applyFont="1" applyFill="1" applyBorder="1" applyAlignment="1" applyProtection="1">
      <alignment horizontal="center" vertical="center"/>
    </xf>
    <xf numFmtId="170" fontId="2" fillId="6" borderId="3" xfId="3" applyNumberFormat="1" applyFont="1" applyFill="1" applyBorder="1" applyAlignment="1" applyProtection="1">
      <alignment horizontal="center" vertical="center"/>
    </xf>
    <xf numFmtId="4" fontId="2" fillId="6" borderId="5" xfId="3" applyNumberFormat="1" applyFont="1" applyFill="1" applyBorder="1" applyAlignment="1" applyProtection="1">
      <alignment horizontal="right" vertical="center" indent="1"/>
    </xf>
    <xf numFmtId="0" fontId="4" fillId="6" borderId="3" xfId="3" applyFont="1" applyFill="1" applyBorder="1" applyAlignment="1" applyProtection="1">
      <alignment horizontal="center" vertical="center"/>
    </xf>
    <xf numFmtId="169" fontId="2" fillId="5" borderId="13" xfId="3" applyNumberFormat="1" applyFont="1" applyFill="1" applyBorder="1" applyAlignment="1" applyProtection="1">
      <alignment horizontal="right" indent="1"/>
    </xf>
    <xf numFmtId="4" fontId="2" fillId="4" borderId="6" xfId="6" applyNumberFormat="1" applyFont="1" applyFill="1" applyBorder="1" applyAlignment="1" applyProtection="1">
      <alignment horizontal="right" vertical="center" indent="1"/>
    </xf>
    <xf numFmtId="0" fontId="2" fillId="6" borderId="3" xfId="3" applyFont="1" applyFill="1" applyBorder="1" applyAlignment="1" applyProtection="1">
      <alignment vertical="center" wrapText="1"/>
    </xf>
    <xf numFmtId="0" fontId="2" fillId="6" borderId="3" xfId="3" applyFont="1" applyFill="1" applyBorder="1" applyAlignment="1" applyProtection="1">
      <alignment horizontal="center" vertical="center" wrapText="1"/>
    </xf>
    <xf numFmtId="0" fontId="4" fillId="9" borderId="3" xfId="0" applyFont="1" applyFill="1" applyBorder="1" applyAlignment="1" applyProtection="1">
      <alignment horizontal="center" vertical="center" wrapText="1"/>
    </xf>
    <xf numFmtId="0" fontId="4" fillId="2" borderId="18" xfId="0" applyFont="1" applyFill="1" applyBorder="1" applyAlignment="1" applyProtection="1">
      <alignment vertical="center" wrapText="1"/>
    </xf>
    <xf numFmtId="4" fontId="2" fillId="2" borderId="0" xfId="3" applyNumberFormat="1" applyFont="1" applyFill="1" applyBorder="1" applyAlignment="1">
      <alignment horizontal="left" vertical="center"/>
    </xf>
    <xf numFmtId="0" fontId="2" fillId="0" borderId="0" xfId="3" applyFont="1" applyAlignment="1">
      <alignment horizontal="left"/>
    </xf>
    <xf numFmtId="169" fontId="2" fillId="5" borderId="3" xfId="1" applyNumberFormat="1" applyFont="1" applyFill="1" applyBorder="1" applyAlignment="1" applyProtection="1">
      <alignment horizontal="center"/>
    </xf>
    <xf numFmtId="169" fontId="2" fillId="0" borderId="3" xfId="1" applyNumberFormat="1" applyFont="1" applyFill="1" applyBorder="1" applyAlignment="1" applyProtection="1">
      <alignment horizontal="center"/>
    </xf>
    <xf numFmtId="4" fontId="4" fillId="0" borderId="3" xfId="3" applyNumberFormat="1" applyFont="1" applyBorder="1" applyAlignment="1">
      <alignment horizontal="right" vertical="center" indent="1"/>
    </xf>
    <xf numFmtId="4" fontId="4" fillId="4" borderId="3" xfId="3" applyNumberFormat="1" applyFont="1" applyFill="1" applyBorder="1" applyAlignment="1">
      <alignment horizontal="right" vertical="center" indent="1"/>
    </xf>
    <xf numFmtId="4" fontId="2" fillId="0" borderId="5" xfId="3" applyNumberFormat="1" applyFont="1" applyBorder="1" applyAlignment="1" applyProtection="1">
      <alignment horizontal="right" vertical="center" indent="1"/>
      <protection locked="0"/>
    </xf>
    <xf numFmtId="4" fontId="4" fillId="0" borderId="5" xfId="3" applyNumberFormat="1" applyFont="1" applyBorder="1" applyAlignment="1">
      <alignment horizontal="right" vertical="center" indent="1"/>
    </xf>
    <xf numFmtId="4" fontId="2" fillId="5" borderId="0" xfId="3" applyNumberFormat="1" applyFont="1" applyFill="1" applyBorder="1" applyAlignment="1" applyProtection="1">
      <alignment horizontal="right" vertical="center" indent="1"/>
      <protection locked="0"/>
    </xf>
    <xf numFmtId="4" fontId="4" fillId="5" borderId="0" xfId="3" applyNumberFormat="1" applyFont="1" applyFill="1" applyBorder="1" applyAlignment="1">
      <alignment horizontal="right" vertical="center" indent="1"/>
    </xf>
    <xf numFmtId="4" fontId="2" fillId="5" borderId="24" xfId="3" applyNumberFormat="1" applyFont="1" applyFill="1" applyBorder="1" applyAlignment="1" applyProtection="1">
      <alignment horizontal="right" vertical="center" indent="1"/>
      <protection locked="0"/>
    </xf>
    <xf numFmtId="4" fontId="4" fillId="5" borderId="24" xfId="3" applyNumberFormat="1" applyFont="1" applyFill="1" applyBorder="1" applyAlignment="1">
      <alignment horizontal="right" vertical="center" indent="1"/>
    </xf>
    <xf numFmtId="4" fontId="2" fillId="6" borderId="3" xfId="0" applyNumberFormat="1" applyFont="1" applyFill="1" applyBorder="1" applyAlignment="1" applyProtection="1">
      <alignment horizontal="right" vertical="center" indent="1"/>
    </xf>
    <xf numFmtId="0" fontId="37" fillId="5" borderId="36" xfId="3" applyFont="1" applyFill="1" applyBorder="1" applyAlignment="1" applyProtection="1"/>
    <xf numFmtId="0" fontId="2" fillId="5" borderId="22" xfId="3" applyFont="1" applyFill="1" applyBorder="1" applyAlignment="1" applyProtection="1">
      <alignment horizontal="left" vertical="center" wrapText="1"/>
    </xf>
    <xf numFmtId="0" fontId="50" fillId="5" borderId="45" xfId="3" applyFont="1" applyFill="1" applyBorder="1" applyAlignment="1" applyProtection="1"/>
    <xf numFmtId="0" fontId="23" fillId="5" borderId="45" xfId="3" applyFont="1" applyFill="1" applyBorder="1" applyAlignment="1" applyProtection="1">
      <alignment vertical="center"/>
    </xf>
    <xf numFmtId="4" fontId="23" fillId="5" borderId="45" xfId="3" applyNumberFormat="1" applyFont="1" applyFill="1" applyBorder="1" applyAlignment="1" applyProtection="1">
      <alignment horizontal="right" vertical="center"/>
    </xf>
    <xf numFmtId="171" fontId="2" fillId="5" borderId="3" xfId="6" applyNumberFormat="1" applyFont="1" applyFill="1" applyBorder="1" applyAlignment="1" applyProtection="1">
      <alignment horizontal="center" vertical="center"/>
    </xf>
    <xf numFmtId="171" fontId="51" fillId="4" borderId="3" xfId="6" applyNumberFormat="1" applyFont="1" applyFill="1" applyBorder="1" applyAlignment="1" applyProtection="1">
      <alignment horizontal="center" vertical="center"/>
    </xf>
    <xf numFmtId="169" fontId="2" fillId="5" borderId="0" xfId="3" applyNumberFormat="1" applyFont="1" applyFill="1" applyBorder="1" applyAlignment="1" applyProtection="1">
      <alignment horizontal="right" indent="1"/>
    </xf>
    <xf numFmtId="169" fontId="4" fillId="5" borderId="0" xfId="3" applyNumberFormat="1" applyFont="1" applyFill="1" applyBorder="1" applyAlignment="1" applyProtection="1">
      <alignment horizontal="right" vertical="center" wrapText="1" indent="1"/>
    </xf>
    <xf numFmtId="0" fontId="20" fillId="5" borderId="0" xfId="3" applyFont="1" applyFill="1" applyBorder="1" applyAlignment="1" applyProtection="1">
      <alignment horizontal="center" vertical="center" wrapText="1"/>
    </xf>
    <xf numFmtId="0" fontId="20" fillId="5" borderId="41" xfId="3" applyFont="1" applyFill="1" applyBorder="1" applyAlignment="1" applyProtection="1">
      <alignment horizontal="center" vertical="center" wrapText="1"/>
    </xf>
    <xf numFmtId="4" fontId="4" fillId="0" borderId="6" xfId="6" applyNumberFormat="1" applyFont="1" applyBorder="1" applyAlignment="1" applyProtection="1">
      <alignment horizontal="right" vertical="center" indent="1"/>
    </xf>
    <xf numFmtId="0" fontId="2" fillId="5" borderId="18" xfId="3" applyFont="1" applyFill="1" applyBorder="1" applyAlignment="1" applyProtection="1">
      <alignment horizontal="left" vertical="center" wrapText="1"/>
    </xf>
    <xf numFmtId="0" fontId="0" fillId="5" borderId="0" xfId="0" applyFill="1" applyBorder="1"/>
    <xf numFmtId="0" fontId="0" fillId="5" borderId="24" xfId="0" applyFill="1" applyBorder="1"/>
    <xf numFmtId="169" fontId="0" fillId="0" borderId="3" xfId="0" applyNumberFormat="1" applyBorder="1" applyAlignment="1" applyProtection="1">
      <alignment horizontal="center" vertical="center"/>
    </xf>
    <xf numFmtId="0" fontId="0" fillId="0" borderId="3" xfId="0" applyBorder="1" applyAlignment="1" applyProtection="1">
      <alignment horizontal="center" vertical="center"/>
    </xf>
    <xf numFmtId="0" fontId="25" fillId="5" borderId="0" xfId="3" applyFont="1" applyFill="1" applyBorder="1" applyAlignment="1" applyProtection="1">
      <alignment horizontal="center" vertical="center"/>
    </xf>
    <xf numFmtId="0" fontId="4" fillId="3" borderId="3" xfId="0" applyFont="1" applyFill="1" applyBorder="1" applyAlignment="1" applyProtection="1">
      <alignment horizontal="center" vertical="center" wrapText="1"/>
    </xf>
    <xf numFmtId="0" fontId="28" fillId="5" borderId="25" xfId="4" applyFill="1" applyBorder="1" applyAlignment="1" applyProtection="1">
      <alignment horizontal="left"/>
    </xf>
    <xf numFmtId="0" fontId="4" fillId="5" borderId="0" xfId="3" applyFont="1" applyFill="1" applyBorder="1" applyAlignment="1" applyProtection="1">
      <alignment horizontal="center" vertical="center"/>
    </xf>
    <xf numFmtId="0" fontId="4" fillId="0" borderId="3" xfId="0" applyFont="1" applyBorder="1" applyAlignment="1" applyProtection="1">
      <alignment horizontal="center" vertical="center"/>
    </xf>
    <xf numFmtId="0" fontId="4" fillId="2" borderId="0" xfId="0" applyFont="1" applyFill="1" applyBorder="1" applyAlignment="1">
      <alignment horizontal="center" vertical="center" wrapText="1"/>
    </xf>
    <xf numFmtId="0" fontId="4" fillId="2" borderId="2" xfId="0" applyFont="1" applyFill="1" applyBorder="1" applyAlignment="1" applyProtection="1">
      <alignment horizontal="center" vertical="center" wrapText="1"/>
    </xf>
    <xf numFmtId="0" fontId="2" fillId="5" borderId="0" xfId="0" applyFont="1" applyFill="1" applyBorder="1" applyAlignment="1" applyProtection="1">
      <alignment horizontal="center" vertical="center"/>
    </xf>
    <xf numFmtId="0" fontId="4" fillId="5" borderId="0" xfId="0" applyFont="1" applyFill="1" applyBorder="1" applyAlignment="1" applyProtection="1">
      <alignment horizontal="center"/>
    </xf>
    <xf numFmtId="0" fontId="4" fillId="0" borderId="0" xfId="0" applyFont="1" applyBorder="1" applyAlignment="1" applyProtection="1">
      <alignment vertical="center"/>
    </xf>
    <xf numFmtId="0" fontId="2" fillId="0" borderId="0"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Border="1" applyAlignment="1" applyProtection="1">
      <alignment horizontal="right" vertical="center"/>
    </xf>
    <xf numFmtId="169" fontId="4" fillId="4" borderId="3" xfId="0" applyNumberFormat="1" applyFont="1" applyFill="1" applyBorder="1" applyAlignment="1" applyProtection="1">
      <alignment vertical="center"/>
    </xf>
    <xf numFmtId="0" fontId="4" fillId="5" borderId="0" xfId="0" applyFont="1" applyFill="1" applyBorder="1" applyAlignment="1" applyProtection="1">
      <alignment horizontal="right" vertical="center"/>
    </xf>
    <xf numFmtId="169" fontId="6" fillId="5" borderId="3" xfId="0" applyNumberFormat="1" applyFont="1" applyFill="1" applyBorder="1" applyAlignment="1" applyProtection="1">
      <alignment vertical="center"/>
    </xf>
    <xf numFmtId="169" fontId="4" fillId="5" borderId="0" xfId="0" applyNumberFormat="1" applyFont="1" applyFill="1" applyBorder="1" applyAlignment="1" applyProtection="1">
      <alignment vertical="center"/>
    </xf>
    <xf numFmtId="169" fontId="5" fillId="5" borderId="1" xfId="0" applyNumberFormat="1" applyFont="1" applyFill="1" applyBorder="1" applyAlignment="1" applyProtection="1">
      <alignment vertical="center"/>
    </xf>
    <xf numFmtId="0" fontId="2" fillId="3" borderId="3" xfId="0" applyFont="1" applyFill="1" applyBorder="1" applyAlignment="1" applyProtection="1">
      <alignment horizontal="center" vertical="center"/>
    </xf>
    <xf numFmtId="167" fontId="2" fillId="6" borderId="3" xfId="3" applyNumberFormat="1" applyFont="1" applyFill="1" applyBorder="1" applyAlignment="1" applyProtection="1">
      <alignment horizontal="center" vertical="center" wrapText="1"/>
    </xf>
    <xf numFmtId="0" fontId="4" fillId="5" borderId="8" xfId="3" applyFont="1" applyFill="1" applyBorder="1" applyAlignment="1" applyProtection="1">
      <alignment horizontal="left"/>
    </xf>
    <xf numFmtId="0" fontId="4" fillId="5" borderId="8" xfId="3" applyFont="1" applyFill="1" applyBorder="1" applyAlignment="1" applyProtection="1">
      <alignment horizontal="center" wrapText="1"/>
    </xf>
    <xf numFmtId="8" fontId="2" fillId="6" borderId="5" xfId="0" applyNumberFormat="1" applyFont="1" applyFill="1" applyBorder="1" applyAlignment="1" applyProtection="1">
      <alignment horizontal="center"/>
    </xf>
    <xf numFmtId="10" fontId="2" fillId="6" borderId="5" xfId="0" applyNumberFormat="1" applyFont="1" applyFill="1" applyBorder="1" applyAlignment="1" applyProtection="1">
      <alignment horizontal="center"/>
    </xf>
    <xf numFmtId="1" fontId="2" fillId="6" borderId="5" xfId="0" applyNumberFormat="1" applyFont="1" applyFill="1" applyBorder="1" applyAlignment="1" applyProtection="1">
      <alignment horizontal="center"/>
    </xf>
    <xf numFmtId="8" fontId="10" fillId="6" borderId="5" xfId="0" applyNumberFormat="1" applyFont="1" applyFill="1" applyBorder="1" applyAlignment="1" applyProtection="1">
      <alignment horizontal="center"/>
    </xf>
    <xf numFmtId="169" fontId="10" fillId="6" borderId="3" xfId="0" applyNumberFormat="1" applyFont="1" applyFill="1" applyBorder="1" applyAlignment="1" applyProtection="1">
      <alignment horizontal="right" vertical="center" indent="1"/>
    </xf>
    <xf numFmtId="2" fontId="10" fillId="5" borderId="3" xfId="0" applyNumberFormat="1" applyFont="1" applyFill="1" applyBorder="1" applyAlignment="1" applyProtection="1">
      <alignment horizontal="right" vertical="center" indent="1"/>
    </xf>
    <xf numFmtId="8" fontId="2" fillId="5" borderId="8" xfId="0" applyNumberFormat="1" applyFont="1" applyFill="1" applyBorder="1" applyAlignment="1" applyProtection="1">
      <alignment horizontal="center"/>
    </xf>
    <xf numFmtId="10" fontId="2" fillId="5" borderId="8" xfId="0" applyNumberFormat="1" applyFont="1" applyFill="1" applyBorder="1" applyAlignment="1" applyProtection="1">
      <alignment horizontal="center"/>
    </xf>
    <xf numFmtId="1" fontId="2" fillId="5" borderId="8" xfId="0" applyNumberFormat="1" applyFont="1" applyFill="1" applyBorder="1" applyAlignment="1" applyProtection="1">
      <alignment horizontal="center"/>
    </xf>
    <xf numFmtId="8" fontId="10" fillId="5" borderId="8" xfId="0" applyNumberFormat="1" applyFont="1" applyFill="1" applyBorder="1" applyAlignment="1" applyProtection="1">
      <alignment horizontal="center"/>
    </xf>
    <xf numFmtId="0" fontId="2" fillId="5" borderId="8" xfId="3" applyFont="1" applyFill="1" applyBorder="1" applyAlignment="1" applyProtection="1">
      <alignment horizontal="center" vertical="center" wrapText="1"/>
    </xf>
    <xf numFmtId="169" fontId="2" fillId="6" borderId="2" xfId="0" applyNumberFormat="1" applyFont="1" applyFill="1" applyBorder="1" applyAlignment="1" applyProtection="1">
      <alignment horizontal="right" vertical="center" indent="1"/>
    </xf>
    <xf numFmtId="2" fontId="10" fillId="5" borderId="2" xfId="0" applyNumberFormat="1" applyFont="1" applyFill="1" applyBorder="1" applyAlignment="1" applyProtection="1">
      <alignment horizontal="right" vertical="center" indent="1"/>
    </xf>
    <xf numFmtId="169" fontId="2" fillId="6" borderId="3" xfId="0" applyNumberFormat="1" applyFont="1" applyFill="1" applyBorder="1" applyAlignment="1" applyProtection="1">
      <alignment horizontal="right" vertical="center" indent="1"/>
    </xf>
    <xf numFmtId="0" fontId="2" fillId="0" borderId="0" xfId="3" applyProtection="1"/>
    <xf numFmtId="0" fontId="0" fillId="0" borderId="0" xfId="0" applyFill="1" applyProtection="1"/>
    <xf numFmtId="0" fontId="2" fillId="0" borderId="0" xfId="0" applyFont="1" applyProtection="1"/>
    <xf numFmtId="0" fontId="8" fillId="0" borderId="0" xfId="0" applyFont="1" applyProtection="1"/>
    <xf numFmtId="0" fontId="8" fillId="7" borderId="0" xfId="0" applyFont="1" applyFill="1" applyProtection="1"/>
    <xf numFmtId="10" fontId="11" fillId="6" borderId="32" xfId="2" applyNumberFormat="1" applyFont="1" applyFill="1" applyBorder="1" applyAlignment="1" applyProtection="1">
      <alignment horizontal="right" indent="3"/>
    </xf>
    <xf numFmtId="10" fontId="11" fillId="6" borderId="33" xfId="2" applyNumberFormat="1" applyFont="1" applyFill="1" applyBorder="1" applyAlignment="1" applyProtection="1">
      <alignment horizontal="right" indent="3"/>
    </xf>
    <xf numFmtId="10" fontId="11" fillId="6" borderId="35" xfId="2" applyNumberFormat="1" applyFont="1" applyFill="1" applyBorder="1" applyAlignment="1" applyProtection="1">
      <alignment horizontal="right" indent="3"/>
    </xf>
    <xf numFmtId="0" fontId="8" fillId="0" borderId="0" xfId="0" applyFont="1" applyBorder="1" applyProtection="1"/>
    <xf numFmtId="0" fontId="2" fillId="5" borderId="0" xfId="0" applyFont="1" applyFill="1" applyBorder="1" applyAlignment="1" applyProtection="1">
      <alignment horizontal="left" vertical="center"/>
    </xf>
    <xf numFmtId="0" fontId="4" fillId="3" borderId="3" xfId="0" applyFont="1" applyFill="1" applyBorder="1" applyAlignment="1" applyProtection="1">
      <alignment horizontal="center" vertical="center" wrapText="1"/>
    </xf>
    <xf numFmtId="169" fontId="4" fillId="0" borderId="3" xfId="0" applyNumberFormat="1" applyFont="1" applyBorder="1" applyAlignment="1" applyProtection="1">
      <alignment horizontal="center" vertical="center"/>
    </xf>
    <xf numFmtId="169" fontId="0" fillId="0" borderId="3" xfId="0" applyNumberFormat="1" applyBorder="1" applyAlignment="1" applyProtection="1">
      <alignment horizontal="center" vertical="center"/>
    </xf>
    <xf numFmtId="0" fontId="0" fillId="0" borderId="3" xfId="0" applyBorder="1"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25" fillId="5" borderId="0" xfId="3" applyFont="1" applyFill="1" applyBorder="1" applyAlignment="1" applyProtection="1">
      <alignment horizontal="center" vertical="center"/>
    </xf>
    <xf numFmtId="0" fontId="26" fillId="5" borderId="0" xfId="3" applyFont="1" applyFill="1" applyBorder="1" applyAlignment="1" applyProtection="1">
      <alignment horizontal="center" vertical="center" wrapText="1"/>
    </xf>
    <xf numFmtId="0" fontId="16" fillId="0" borderId="0" xfId="3" applyFont="1" applyFill="1" applyBorder="1" applyAlignment="1" applyProtection="1">
      <alignment horizontal="center" vertical="center"/>
    </xf>
    <xf numFmtId="0" fontId="4" fillId="0" borderId="18" xfId="0" applyFont="1" applyBorder="1" applyAlignment="1" applyProtection="1">
      <alignment horizontal="left"/>
    </xf>
    <xf numFmtId="0" fontId="42" fillId="0" borderId="0" xfId="0" applyFont="1" applyBorder="1" applyAlignment="1" applyProtection="1">
      <alignment horizontal="left"/>
    </xf>
    <xf numFmtId="0" fontId="4" fillId="3" borderId="5" xfId="3" applyFont="1" applyFill="1" applyBorder="1" applyAlignment="1" applyProtection="1">
      <alignment horizontal="center" vertical="center" wrapText="1"/>
    </xf>
    <xf numFmtId="0" fontId="4" fillId="3" borderId="22" xfId="3" applyFont="1" applyFill="1" applyBorder="1" applyAlignment="1" applyProtection="1">
      <alignment horizontal="center" vertical="center" wrapText="1"/>
    </xf>
    <xf numFmtId="0" fontId="4" fillId="3" borderId="2" xfId="3" applyFont="1" applyFill="1" applyBorder="1" applyAlignment="1" applyProtection="1">
      <alignment horizontal="center" vertical="center" wrapText="1"/>
    </xf>
    <xf numFmtId="0" fontId="2" fillId="3" borderId="5" xfId="3" applyFont="1" applyFill="1" applyBorder="1" applyAlignment="1" applyProtection="1">
      <alignment horizontal="center" vertical="center" wrapText="1"/>
    </xf>
    <xf numFmtId="0" fontId="2" fillId="3" borderId="22" xfId="3" applyFont="1" applyFill="1" applyBorder="1" applyAlignment="1" applyProtection="1">
      <alignment horizontal="center" vertical="center" wrapText="1"/>
    </xf>
    <xf numFmtId="0" fontId="2" fillId="3" borderId="2" xfId="3" applyFont="1" applyFill="1" applyBorder="1" applyAlignment="1" applyProtection="1">
      <alignment horizontal="center" vertical="center" wrapText="1"/>
    </xf>
    <xf numFmtId="0" fontId="4" fillId="3" borderId="1" xfId="3" applyFont="1" applyFill="1" applyBorder="1" applyAlignment="1" applyProtection="1">
      <alignment horizontal="center" wrapText="1"/>
    </xf>
    <xf numFmtId="0" fontId="4" fillId="3" borderId="6" xfId="3" applyFont="1" applyFill="1" applyBorder="1" applyAlignment="1" applyProtection="1">
      <alignment horizontal="center" wrapText="1"/>
    </xf>
    <xf numFmtId="0" fontId="2" fillId="3" borderId="1" xfId="3" applyFont="1" applyFill="1" applyBorder="1" applyAlignment="1" applyProtection="1">
      <alignment horizontal="center" vertical="center" wrapText="1"/>
    </xf>
    <xf numFmtId="0" fontId="2" fillId="3" borderId="6" xfId="3" applyFont="1" applyFill="1" applyBorder="1" applyAlignment="1" applyProtection="1">
      <alignment horizontal="center" vertical="center" wrapText="1"/>
    </xf>
    <xf numFmtId="2" fontId="2" fillId="5" borderId="17" xfId="3" applyNumberFormat="1" applyFont="1" applyFill="1" applyBorder="1" applyAlignment="1" applyProtection="1">
      <alignment horizontal="right" vertical="center" wrapText="1" indent="1"/>
    </xf>
    <xf numFmtId="2" fontId="2" fillId="5" borderId="7" xfId="3" applyNumberFormat="1" applyFont="1" applyFill="1" applyBorder="1" applyAlignment="1" applyProtection="1">
      <alignment horizontal="right" vertical="center" wrapText="1" indent="1"/>
    </xf>
    <xf numFmtId="49" fontId="2" fillId="6" borderId="5" xfId="3" applyNumberFormat="1" applyFont="1" applyFill="1" applyBorder="1" applyAlignment="1" applyProtection="1">
      <alignment horizontal="center" vertical="center" wrapText="1"/>
    </xf>
    <xf numFmtId="49" fontId="2" fillId="6" borderId="22" xfId="3" applyNumberFormat="1" applyFont="1" applyFill="1" applyBorder="1" applyAlignment="1" applyProtection="1">
      <alignment horizontal="center" vertical="center" wrapText="1"/>
    </xf>
    <xf numFmtId="0" fontId="4" fillId="6" borderId="19" xfId="3" applyFont="1" applyFill="1" applyBorder="1" applyAlignment="1" applyProtection="1">
      <alignment horizontal="center" wrapText="1"/>
    </xf>
    <xf numFmtId="0" fontId="4" fillId="6" borderId="24" xfId="3" applyFont="1" applyFill="1" applyBorder="1" applyAlignment="1" applyProtection="1">
      <alignment horizontal="center" wrapText="1"/>
    </xf>
    <xf numFmtId="0" fontId="4" fillId="6" borderId="28" xfId="3" applyFont="1" applyFill="1" applyBorder="1" applyAlignment="1" applyProtection="1">
      <alignment horizontal="center" wrapText="1"/>
    </xf>
    <xf numFmtId="0" fontId="4" fillId="6" borderId="17" xfId="3" applyFont="1" applyFill="1" applyBorder="1" applyAlignment="1" applyProtection="1">
      <alignment horizontal="center" wrapText="1"/>
    </xf>
    <xf numFmtId="0" fontId="4" fillId="6" borderId="18" xfId="3" applyFont="1" applyFill="1" applyBorder="1" applyAlignment="1" applyProtection="1">
      <alignment horizontal="center" wrapText="1"/>
    </xf>
    <xf numFmtId="0" fontId="4" fillId="6" borderId="7" xfId="3" applyFont="1" applyFill="1" applyBorder="1" applyAlignment="1" applyProtection="1">
      <alignment horizontal="center" wrapText="1"/>
    </xf>
    <xf numFmtId="4" fontId="2" fillId="6" borderId="3" xfId="0" applyNumberFormat="1" applyFont="1" applyFill="1" applyBorder="1" applyAlignment="1" applyProtection="1">
      <alignment horizontal="center" vertical="center"/>
    </xf>
    <xf numFmtId="2" fontId="2" fillId="5" borderId="1" xfId="3" applyNumberFormat="1" applyFont="1" applyFill="1" applyBorder="1" applyAlignment="1" applyProtection="1">
      <alignment horizontal="right" vertical="center" wrapText="1" indent="1"/>
    </xf>
    <xf numFmtId="2" fontId="2" fillId="5" borderId="6" xfId="3" applyNumberFormat="1" applyFont="1" applyFill="1" applyBorder="1" applyAlignment="1" applyProtection="1">
      <alignment horizontal="right" vertical="center" wrapText="1" indent="1"/>
    </xf>
    <xf numFmtId="4" fontId="2" fillId="6" borderId="3" xfId="0" applyNumberFormat="1" applyFont="1" applyFill="1" applyBorder="1" applyAlignment="1" applyProtection="1">
      <alignment horizontal="center" vertical="center" wrapText="1"/>
    </xf>
    <xf numFmtId="0" fontId="4" fillId="3" borderId="8" xfId="3" applyFont="1" applyFill="1" applyBorder="1" applyAlignment="1" applyProtection="1">
      <alignment horizontal="center" wrapText="1"/>
    </xf>
    <xf numFmtId="2" fontId="10" fillId="5" borderId="17" xfId="0" applyNumberFormat="1" applyFont="1" applyFill="1" applyBorder="1" applyAlignment="1" applyProtection="1">
      <alignment horizontal="right" vertical="center" indent="1"/>
    </xf>
    <xf numFmtId="2" fontId="10" fillId="5" borderId="7" xfId="0" applyNumberFormat="1" applyFont="1" applyFill="1" applyBorder="1" applyAlignment="1" applyProtection="1">
      <alignment horizontal="right" vertical="center" indent="1"/>
    </xf>
    <xf numFmtId="0" fontId="2" fillId="3" borderId="19" xfId="3" applyFont="1" applyFill="1" applyBorder="1" applyAlignment="1" applyProtection="1">
      <alignment horizontal="center" vertical="center" wrapText="1"/>
    </xf>
    <xf numFmtId="0" fontId="2" fillId="3" borderId="28" xfId="3" applyFont="1" applyFill="1" applyBorder="1" applyAlignment="1" applyProtection="1">
      <alignment horizontal="center" vertical="center" wrapText="1"/>
    </xf>
    <xf numFmtId="2" fontId="10" fillId="5" borderId="1" xfId="0" applyNumberFormat="1" applyFont="1" applyFill="1" applyBorder="1" applyAlignment="1" applyProtection="1">
      <alignment horizontal="right" vertical="center" indent="1"/>
    </xf>
    <xf numFmtId="2" fontId="10" fillId="5" borderId="6" xfId="0" applyNumberFormat="1" applyFont="1" applyFill="1" applyBorder="1" applyAlignment="1" applyProtection="1">
      <alignment horizontal="right" vertical="center" indent="1"/>
    </xf>
    <xf numFmtId="0" fontId="3" fillId="5" borderId="24" xfId="3" applyFont="1" applyFill="1" applyBorder="1" applyAlignment="1" applyProtection="1">
      <alignment horizontal="right" vertical="center" wrapText="1"/>
    </xf>
    <xf numFmtId="0" fontId="3" fillId="5" borderId="21" xfId="3" applyFont="1" applyFill="1" applyBorder="1" applyAlignment="1" applyProtection="1">
      <alignment horizontal="right" vertical="center" wrapText="1"/>
    </xf>
    <xf numFmtId="0" fontId="4" fillId="8" borderId="3" xfId="3" applyFont="1" applyFill="1" applyBorder="1" applyAlignment="1" applyProtection="1">
      <alignment horizontal="center" vertical="center"/>
    </xf>
    <xf numFmtId="0" fontId="2" fillId="0" borderId="1" xfId="0" applyFont="1" applyBorder="1" applyAlignment="1" applyProtection="1">
      <alignment vertical="center"/>
    </xf>
    <xf numFmtId="0" fontId="2" fillId="0" borderId="8" xfId="0" applyFont="1" applyBorder="1" applyAlignment="1" applyProtection="1">
      <alignment vertical="center"/>
    </xf>
    <xf numFmtId="0" fontId="2" fillId="0" borderId="6" xfId="0" applyFont="1" applyBorder="1" applyAlignment="1" applyProtection="1">
      <alignment vertical="center"/>
    </xf>
    <xf numFmtId="0" fontId="4" fillId="3" borderId="29" xfId="3" applyFont="1" applyFill="1" applyBorder="1" applyAlignment="1" applyProtection="1">
      <alignment horizontal="center" vertical="center" wrapText="1"/>
    </xf>
    <xf numFmtId="0" fontId="4" fillId="3" borderId="42" xfId="3" applyFont="1" applyFill="1" applyBorder="1" applyAlignment="1" applyProtection="1">
      <alignment horizontal="center" vertical="center" wrapText="1"/>
    </xf>
    <xf numFmtId="0" fontId="4" fillId="3" borderId="23" xfId="3" applyFont="1" applyFill="1" applyBorder="1" applyAlignment="1" applyProtection="1">
      <alignment horizontal="center" vertical="center" wrapText="1"/>
    </xf>
    <xf numFmtId="0" fontId="4" fillId="3" borderId="30" xfId="3" applyFont="1" applyFill="1" applyBorder="1" applyAlignment="1" applyProtection="1">
      <alignment horizontal="center" vertical="center" wrapText="1"/>
    </xf>
    <xf numFmtId="0" fontId="31" fillId="2" borderId="26" xfId="5" applyFont="1" applyFill="1" applyBorder="1" applyAlignment="1" applyProtection="1">
      <alignment horizontal="left" vertical="center" wrapText="1"/>
    </xf>
    <xf numFmtId="0" fontId="2" fillId="0" borderId="1" xfId="3" applyFont="1" applyBorder="1" applyAlignment="1" applyProtection="1">
      <alignment vertical="center"/>
    </xf>
    <xf numFmtId="0" fontId="2" fillId="0" borderId="8" xfId="3" applyFont="1" applyBorder="1" applyAlignment="1" applyProtection="1">
      <alignment vertical="center"/>
    </xf>
    <xf numFmtId="0" fontId="2" fillId="0" borderId="6" xfId="3" applyFont="1" applyBorder="1" applyAlignment="1" applyProtection="1">
      <alignment vertical="center"/>
    </xf>
    <xf numFmtId="0" fontId="4" fillId="5" borderId="1" xfId="3" applyFont="1" applyFill="1" applyBorder="1" applyAlignment="1" applyProtection="1"/>
    <xf numFmtId="0" fontId="4" fillId="5" borderId="8" xfId="3" applyFont="1" applyFill="1" applyBorder="1" applyAlignment="1" applyProtection="1"/>
    <xf numFmtId="0" fontId="4" fillId="5" borderId="6" xfId="3" applyFont="1" applyFill="1" applyBorder="1" applyAlignment="1" applyProtection="1"/>
    <xf numFmtId="0" fontId="2" fillId="0" borderId="19" xfId="3" applyFont="1" applyBorder="1" applyAlignment="1" applyProtection="1">
      <alignment horizontal="justify" vertical="center" wrapText="1"/>
    </xf>
    <xf numFmtId="0" fontId="2" fillId="0" borderId="24" xfId="3" applyFont="1" applyBorder="1" applyAlignment="1" applyProtection="1">
      <alignment horizontal="justify" vertical="center" wrapText="1"/>
    </xf>
    <xf numFmtId="0" fontId="2" fillId="0" borderId="28" xfId="3" applyFont="1" applyBorder="1" applyAlignment="1" applyProtection="1">
      <alignment horizontal="justify" vertical="center" wrapText="1"/>
    </xf>
    <xf numFmtId="0" fontId="28" fillId="5" borderId="25" xfId="4" applyFill="1" applyBorder="1" applyAlignment="1" applyProtection="1">
      <alignment horizontal="left"/>
    </xf>
    <xf numFmtId="0" fontId="2" fillId="0" borderId="19" xfId="3" applyFont="1" applyBorder="1" applyProtection="1"/>
    <xf numFmtId="0" fontId="2" fillId="0" borderId="24" xfId="3" applyFont="1" applyBorder="1" applyProtection="1"/>
    <xf numFmtId="0" fontId="2" fillId="0" borderId="28" xfId="3" applyFont="1" applyBorder="1" applyProtection="1"/>
    <xf numFmtId="0" fontId="2" fillId="0" borderId="3" xfId="3" applyFont="1" applyBorder="1" applyAlignment="1" applyProtection="1">
      <alignment vertical="center"/>
    </xf>
    <xf numFmtId="0" fontId="4" fillId="0" borderId="1" xfId="3" applyFont="1" applyBorder="1" applyAlignment="1" applyProtection="1">
      <alignment vertical="center"/>
    </xf>
    <xf numFmtId="0" fontId="4" fillId="0" borderId="8" xfId="3" applyFont="1" applyBorder="1" applyAlignment="1" applyProtection="1">
      <alignment vertical="center"/>
    </xf>
    <xf numFmtId="0" fontId="4" fillId="0" borderId="6" xfId="3" applyFont="1" applyBorder="1" applyAlignment="1" applyProtection="1">
      <alignment vertical="center"/>
    </xf>
    <xf numFmtId="0" fontId="2" fillId="0" borderId="3" xfId="3" applyFont="1" applyBorder="1" applyProtection="1"/>
    <xf numFmtId="0" fontId="3" fillId="5" borderId="0" xfId="3" applyFont="1" applyFill="1" applyBorder="1" applyAlignment="1" applyProtection="1">
      <alignment horizontal="right" vertical="center" wrapText="1"/>
    </xf>
    <xf numFmtId="0" fontId="3" fillId="5" borderId="13" xfId="3" applyFont="1" applyFill="1" applyBorder="1" applyAlignment="1" applyProtection="1">
      <alignment horizontal="right" vertical="center" wrapText="1"/>
    </xf>
    <xf numFmtId="0" fontId="16" fillId="5" borderId="0" xfId="3" applyFont="1" applyFill="1" applyBorder="1" applyAlignment="1" applyProtection="1">
      <alignment horizontal="center"/>
    </xf>
    <xf numFmtId="0" fontId="2" fillId="5" borderId="0" xfId="3" applyFont="1" applyFill="1" applyBorder="1" applyAlignment="1" applyProtection="1">
      <alignment horizontal="center"/>
    </xf>
    <xf numFmtId="0" fontId="4" fillId="5" borderId="0" xfId="3" applyFont="1" applyFill="1" applyBorder="1" applyAlignment="1" applyProtection="1">
      <alignment horizontal="center"/>
    </xf>
    <xf numFmtId="0" fontId="4" fillId="6" borderId="19" xfId="3" applyFont="1" applyFill="1" applyBorder="1" applyAlignment="1" applyProtection="1">
      <alignment horizontal="center" vertical="center"/>
    </xf>
    <xf numFmtId="0" fontId="4" fillId="6" borderId="24" xfId="3" applyFont="1" applyFill="1" applyBorder="1" applyAlignment="1" applyProtection="1">
      <alignment horizontal="center" vertical="center"/>
    </xf>
    <xf numFmtId="0" fontId="4" fillId="6" borderId="28" xfId="3" applyFont="1" applyFill="1" applyBorder="1" applyAlignment="1" applyProtection="1">
      <alignment horizontal="center" vertical="center"/>
    </xf>
    <xf numFmtId="0" fontId="4" fillId="6" borderId="17" xfId="3" applyFont="1" applyFill="1" applyBorder="1" applyAlignment="1" applyProtection="1">
      <alignment horizontal="center" vertical="center"/>
    </xf>
    <xf numFmtId="0" fontId="4" fillId="6" borderId="18" xfId="3" applyFont="1" applyFill="1" applyBorder="1" applyAlignment="1" applyProtection="1">
      <alignment horizontal="center" vertical="center"/>
    </xf>
    <xf numFmtId="0" fontId="4" fillId="6" borderId="7" xfId="3" applyFont="1" applyFill="1" applyBorder="1" applyAlignment="1" applyProtection="1">
      <alignment horizontal="center" vertical="center"/>
    </xf>
    <xf numFmtId="0" fontId="2" fillId="5" borderId="19" xfId="3" applyFont="1" applyFill="1" applyBorder="1" applyAlignment="1" applyProtection="1">
      <alignment horizontal="center" vertical="center" wrapText="1"/>
    </xf>
    <xf numFmtId="0" fontId="2" fillId="5" borderId="24" xfId="3" applyFont="1" applyFill="1" applyBorder="1" applyAlignment="1" applyProtection="1">
      <alignment horizontal="center" vertical="center" wrapText="1"/>
    </xf>
    <xf numFmtId="0" fontId="2" fillId="5" borderId="28" xfId="3" applyFont="1" applyFill="1" applyBorder="1" applyAlignment="1" applyProtection="1">
      <alignment horizontal="center" vertical="center" wrapText="1"/>
    </xf>
    <xf numFmtId="0" fontId="2" fillId="5" borderId="17" xfId="3" applyFont="1" applyFill="1" applyBorder="1" applyAlignment="1" applyProtection="1">
      <alignment horizontal="center" vertical="center" wrapText="1"/>
    </xf>
    <xf numFmtId="0" fontId="2" fillId="5" borderId="18" xfId="3" applyFont="1" applyFill="1" applyBorder="1" applyAlignment="1" applyProtection="1">
      <alignment horizontal="center" vertical="center" wrapText="1"/>
    </xf>
    <xf numFmtId="0" fontId="2" fillId="5" borderId="7" xfId="3" applyFont="1" applyFill="1" applyBorder="1" applyAlignment="1" applyProtection="1">
      <alignment horizontal="center" vertical="center" wrapText="1"/>
    </xf>
    <xf numFmtId="0" fontId="4" fillId="3" borderId="10" xfId="3" applyFont="1" applyFill="1" applyBorder="1" applyAlignment="1" applyProtection="1">
      <alignment horizontal="center" vertical="center"/>
    </xf>
    <xf numFmtId="0" fontId="4" fillId="3" borderId="9" xfId="3" applyFont="1" applyFill="1" applyBorder="1" applyAlignment="1" applyProtection="1">
      <alignment horizontal="center" vertical="center"/>
    </xf>
    <xf numFmtId="0" fontId="4" fillId="3" borderId="16" xfId="3" applyFont="1" applyFill="1" applyBorder="1" applyAlignment="1" applyProtection="1">
      <alignment horizontal="center" vertical="center"/>
    </xf>
    <xf numFmtId="0" fontId="22" fillId="5" borderId="14" xfId="0" applyFont="1" applyFill="1" applyBorder="1" applyAlignment="1" applyProtection="1">
      <alignment horizontal="left" vertical="top" wrapText="1"/>
    </xf>
    <xf numFmtId="0" fontId="24" fillId="5" borderId="41" xfId="0" applyFont="1" applyFill="1" applyBorder="1" applyAlignment="1" applyProtection="1">
      <alignment horizontal="left" wrapText="1"/>
    </xf>
    <xf numFmtId="0" fontId="24" fillId="5" borderId="20" xfId="0" applyFont="1" applyFill="1" applyBorder="1" applyAlignment="1" applyProtection="1">
      <alignment horizontal="left" wrapText="1"/>
    </xf>
    <xf numFmtId="0" fontId="20" fillId="5" borderId="0" xfId="0" applyFont="1" applyFill="1" applyBorder="1" applyAlignment="1" applyProtection="1">
      <alignment horizontal="center"/>
    </xf>
    <xf numFmtId="0" fontId="11" fillId="5" borderId="0" xfId="0" applyFont="1" applyFill="1" applyBorder="1" applyAlignment="1" applyProtection="1">
      <alignment horizontal="center"/>
    </xf>
    <xf numFmtId="0" fontId="19" fillId="5" borderId="0" xfId="0" applyFont="1" applyFill="1" applyBorder="1" applyAlignment="1" applyProtection="1">
      <alignment horizontal="center" wrapText="1"/>
    </xf>
    <xf numFmtId="0" fontId="21" fillId="5" borderId="0" xfId="0" applyFont="1" applyFill="1" applyBorder="1" applyAlignment="1" applyProtection="1">
      <alignment horizontal="center"/>
    </xf>
    <xf numFmtId="0" fontId="11" fillId="6" borderId="19" xfId="0" applyFont="1" applyFill="1" applyBorder="1" applyAlignment="1" applyProtection="1">
      <alignment horizontal="center"/>
    </xf>
    <xf numFmtId="0" fontId="11" fillId="6" borderId="28" xfId="0" applyFont="1" applyFill="1" applyBorder="1" applyAlignment="1" applyProtection="1">
      <alignment horizontal="center"/>
    </xf>
    <xf numFmtId="0" fontId="11" fillId="6" borderId="17" xfId="0" applyFont="1" applyFill="1" applyBorder="1" applyAlignment="1" applyProtection="1">
      <alignment horizontal="center"/>
    </xf>
    <xf numFmtId="0" fontId="11" fillId="6" borderId="7" xfId="0" applyFont="1" applyFill="1" applyBorder="1" applyAlignment="1" applyProtection="1">
      <alignment horizontal="center"/>
    </xf>
    <xf numFmtId="0" fontId="4" fillId="9" borderId="46" xfId="0" applyFont="1" applyFill="1" applyBorder="1" applyAlignment="1" applyProtection="1">
      <alignment horizontal="center" vertical="center" wrapText="1"/>
    </xf>
    <xf numFmtId="0" fontId="4" fillId="9" borderId="2" xfId="0" applyFont="1" applyFill="1" applyBorder="1" applyAlignment="1" applyProtection="1">
      <alignment horizontal="center" vertical="center" wrapText="1"/>
    </xf>
    <xf numFmtId="0" fontId="37" fillId="5" borderId="36" xfId="3" applyFont="1" applyFill="1" applyBorder="1" applyAlignment="1" applyProtection="1">
      <alignment horizontal="left"/>
    </xf>
    <xf numFmtId="0" fontId="4" fillId="2" borderId="0" xfId="3" applyFont="1" applyFill="1" applyBorder="1" applyAlignment="1">
      <alignment horizontal="left" vertical="center" wrapText="1"/>
    </xf>
    <xf numFmtId="0" fontId="4" fillId="5" borderId="46" xfId="0" applyFont="1" applyFill="1" applyBorder="1" applyAlignment="1" applyProtection="1">
      <alignment horizontal="center" vertical="center"/>
    </xf>
    <xf numFmtId="0" fontId="4" fillId="5" borderId="2" xfId="0" applyFont="1" applyFill="1" applyBorder="1" applyAlignment="1" applyProtection="1">
      <alignment horizontal="center" vertical="center"/>
    </xf>
    <xf numFmtId="0" fontId="4" fillId="5" borderId="46" xfId="0" applyFont="1" applyFill="1" applyBorder="1" applyAlignment="1" applyProtection="1">
      <alignment horizontal="center" vertical="center" wrapText="1"/>
    </xf>
    <xf numFmtId="0" fontId="4" fillId="5" borderId="2" xfId="0" applyFont="1" applyFill="1" applyBorder="1" applyAlignment="1" applyProtection="1">
      <alignment horizontal="center" vertical="center" wrapText="1"/>
    </xf>
    <xf numFmtId="0" fontId="4" fillId="2" borderId="46"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9" borderId="46" xfId="0" applyFont="1" applyFill="1" applyBorder="1" applyAlignment="1" applyProtection="1">
      <alignment horizontal="center" vertical="center"/>
    </xf>
    <xf numFmtId="0" fontId="4" fillId="9" borderId="2" xfId="0" applyFont="1" applyFill="1" applyBorder="1" applyAlignment="1" applyProtection="1">
      <alignment horizontal="center" vertical="center"/>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5" borderId="43" xfId="3" applyFont="1" applyFill="1" applyBorder="1" applyAlignment="1" applyProtection="1">
      <alignment horizontal="center"/>
    </xf>
    <xf numFmtId="0" fontId="4" fillId="5" borderId="44" xfId="0" applyFont="1" applyFill="1" applyBorder="1" applyAlignment="1" applyProtection="1">
      <alignment horizontal="center" vertical="center"/>
    </xf>
    <xf numFmtId="0" fontId="4" fillId="5" borderId="44" xfId="0" applyFont="1" applyFill="1" applyBorder="1" applyAlignment="1" applyProtection="1">
      <alignment horizontal="center" vertical="center" wrapText="1"/>
    </xf>
    <xf numFmtId="0" fontId="4" fillId="2" borderId="44"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5" borderId="5" xfId="0" applyFont="1" applyFill="1" applyBorder="1" applyAlignment="1" applyProtection="1">
      <alignment horizontal="center" vertical="center"/>
    </xf>
    <xf numFmtId="0" fontId="4" fillId="5" borderId="5"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xf>
    <xf numFmtId="0" fontId="47" fillId="5" borderId="45" xfId="3" applyFont="1" applyFill="1" applyBorder="1" applyAlignment="1" applyProtection="1">
      <alignment horizontal="center"/>
    </xf>
    <xf numFmtId="0" fontId="2" fillId="0" borderId="0" xfId="0" applyFont="1" applyBorder="1" applyAlignment="1" applyProtection="1">
      <alignment horizontal="center"/>
    </xf>
    <xf numFmtId="0" fontId="4" fillId="3" borderId="10" xfId="3" applyFont="1" applyFill="1" applyBorder="1" applyAlignment="1" applyProtection="1">
      <alignment horizontal="center" vertical="center" wrapText="1"/>
    </xf>
    <xf numFmtId="0" fontId="4" fillId="3" borderId="9" xfId="3" applyFont="1" applyFill="1" applyBorder="1" applyAlignment="1" applyProtection="1">
      <alignment horizontal="center" vertical="center" wrapText="1"/>
    </xf>
    <xf numFmtId="0" fontId="4" fillId="3" borderId="16" xfId="3" applyFont="1" applyFill="1" applyBorder="1" applyAlignment="1" applyProtection="1">
      <alignment horizontal="center" vertical="center" wrapText="1"/>
    </xf>
    <xf numFmtId="0" fontId="4" fillId="5" borderId="1" xfId="0" applyFont="1" applyFill="1" applyBorder="1" applyAlignment="1" applyProtection="1">
      <alignment horizontal="center" vertical="center"/>
    </xf>
    <xf numFmtId="0" fontId="4" fillId="5" borderId="6" xfId="0" applyFont="1" applyFill="1" applyBorder="1" applyAlignment="1" applyProtection="1">
      <alignment horizontal="center" vertical="center"/>
    </xf>
    <xf numFmtId="0" fontId="16" fillId="5" borderId="0" xfId="0" applyFont="1" applyFill="1" applyBorder="1" applyAlignment="1" applyProtection="1">
      <alignment horizontal="center"/>
    </xf>
    <xf numFmtId="0" fontId="2" fillId="5" borderId="0" xfId="0" applyFont="1" applyFill="1" applyBorder="1" applyAlignment="1" applyProtection="1">
      <alignment horizontal="center" vertical="center"/>
    </xf>
    <xf numFmtId="0" fontId="4" fillId="5" borderId="0" xfId="0" applyFont="1" applyFill="1" applyBorder="1" applyAlignment="1" applyProtection="1">
      <alignment horizontal="center"/>
    </xf>
    <xf numFmtId="0" fontId="4" fillId="6" borderId="19" xfId="3" applyFont="1" applyFill="1" applyBorder="1" applyAlignment="1" applyProtection="1">
      <alignment horizontal="center" vertical="center" wrapText="1"/>
    </xf>
    <xf numFmtId="0" fontId="4" fillId="6" borderId="24" xfId="3" applyFont="1" applyFill="1" applyBorder="1" applyAlignment="1" applyProtection="1">
      <alignment horizontal="center" vertical="center" wrapText="1"/>
    </xf>
    <xf numFmtId="0" fontId="4" fillId="6" borderId="28" xfId="3" applyFont="1" applyFill="1" applyBorder="1" applyAlignment="1" applyProtection="1">
      <alignment horizontal="center" vertical="center" wrapText="1"/>
    </xf>
    <xf numFmtId="0" fontId="4" fillId="6" borderId="17" xfId="3" applyFont="1" applyFill="1" applyBorder="1" applyAlignment="1" applyProtection="1">
      <alignment horizontal="center" vertical="center" wrapText="1"/>
    </xf>
    <xf numFmtId="0" fontId="4" fillId="6" borderId="18" xfId="3" applyFont="1" applyFill="1" applyBorder="1" applyAlignment="1" applyProtection="1">
      <alignment horizontal="center" vertical="center" wrapText="1"/>
    </xf>
    <xf numFmtId="0" fontId="4" fillId="6" borderId="7" xfId="3"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Border="1" applyAlignment="1" applyProtection="1">
      <alignment horizontal="left" vertical="center" wrapText="1"/>
    </xf>
    <xf numFmtId="0" fontId="4" fillId="0" borderId="3" xfId="0" applyFont="1" applyBorder="1" applyAlignment="1" applyProtection="1">
      <alignment horizontal="center" vertical="center"/>
    </xf>
    <xf numFmtId="0" fontId="4" fillId="2" borderId="0" xfId="0" applyFont="1" applyFill="1" applyBorder="1" applyAlignment="1">
      <alignment horizontal="center" vertical="center" wrapText="1"/>
    </xf>
    <xf numFmtId="0" fontId="2" fillId="2" borderId="0" xfId="0" applyFont="1" applyFill="1" applyBorder="1" applyAlignment="1" applyProtection="1">
      <alignment horizontal="left" vertical="center" wrapText="1"/>
    </xf>
    <xf numFmtId="0" fontId="2" fillId="7" borderId="0" xfId="0" applyFont="1" applyFill="1" applyBorder="1" applyAlignment="1">
      <alignment horizontal="left" vertical="center" wrapText="1"/>
    </xf>
    <xf numFmtId="0" fontId="2" fillId="7" borderId="27" xfId="0" applyFont="1" applyFill="1" applyBorder="1" applyAlignment="1">
      <alignment horizontal="left" vertical="center" wrapText="1"/>
    </xf>
    <xf numFmtId="0" fontId="48" fillId="5" borderId="47" xfId="3" applyFont="1" applyFill="1" applyBorder="1" applyAlignment="1" applyProtection="1">
      <alignment horizontal="center"/>
    </xf>
    <xf numFmtId="0" fontId="49" fillId="5" borderId="18" xfId="3" applyFont="1" applyFill="1" applyBorder="1" applyAlignment="1" applyProtection="1">
      <alignment horizont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2" fillId="5" borderId="1" xfId="3" applyFont="1" applyFill="1" applyBorder="1" applyAlignment="1" applyProtection="1">
      <alignment horizontal="left" vertical="center" wrapText="1"/>
    </xf>
    <xf numFmtId="0" fontId="2" fillId="5" borderId="8" xfId="3" applyFont="1" applyFill="1" applyBorder="1" applyAlignment="1" applyProtection="1">
      <alignment horizontal="left" vertical="center" wrapText="1"/>
    </xf>
    <xf numFmtId="0" fontId="2" fillId="5" borderId="6" xfId="3" applyFont="1" applyFill="1" applyBorder="1" applyAlignment="1" applyProtection="1">
      <alignment horizontal="left" vertical="center" wrapText="1"/>
    </xf>
    <xf numFmtId="0" fontId="2" fillId="5" borderId="0" xfId="3" applyFont="1" applyFill="1" applyBorder="1" applyAlignment="1" applyProtection="1">
      <alignment horizontal="center" vertical="center" wrapText="1"/>
    </xf>
    <xf numFmtId="0" fontId="35" fillId="5" borderId="0" xfId="3" applyFont="1" applyFill="1" applyBorder="1" applyAlignment="1" applyProtection="1">
      <alignment horizontal="center" vertical="center" wrapText="1"/>
    </xf>
    <xf numFmtId="0" fontId="4" fillId="5" borderId="0" xfId="3" applyFont="1" applyFill="1" applyBorder="1" applyAlignment="1" applyProtection="1">
      <alignment horizontal="center" vertical="center"/>
    </xf>
    <xf numFmtId="0" fontId="37" fillId="5" borderId="36" xfId="3" applyFont="1" applyFill="1" applyBorder="1" applyAlignment="1" applyProtection="1">
      <alignment horizontal="center"/>
    </xf>
    <xf numFmtId="0" fontId="4" fillId="6" borderId="19" xfId="0" applyFont="1" applyFill="1" applyBorder="1" applyAlignment="1" applyProtection="1">
      <alignment horizontal="center" vertical="center"/>
    </xf>
    <xf numFmtId="0" fontId="4" fillId="6" borderId="24" xfId="0" applyFont="1" applyFill="1" applyBorder="1" applyAlignment="1" applyProtection="1">
      <alignment horizontal="center" vertical="center"/>
    </xf>
    <xf numFmtId="0" fontId="4" fillId="6" borderId="28" xfId="0" applyFont="1" applyFill="1" applyBorder="1" applyAlignment="1" applyProtection="1">
      <alignment horizontal="center" vertical="center"/>
    </xf>
    <xf numFmtId="0" fontId="4" fillId="6" borderId="17" xfId="0" applyFont="1" applyFill="1" applyBorder="1" applyAlignment="1" applyProtection="1">
      <alignment horizontal="center" vertical="center"/>
    </xf>
    <xf numFmtId="0" fontId="4" fillId="6" borderId="18" xfId="0" applyFont="1" applyFill="1" applyBorder="1" applyAlignment="1" applyProtection="1">
      <alignment horizontal="center" vertical="center"/>
    </xf>
    <xf numFmtId="0" fontId="4" fillId="6" borderId="7" xfId="0" applyFont="1" applyFill="1" applyBorder="1" applyAlignment="1" applyProtection="1">
      <alignment horizontal="center" vertical="center"/>
    </xf>
    <xf numFmtId="0" fontId="36" fillId="3" borderId="10" xfId="3" applyFont="1" applyFill="1" applyBorder="1" applyAlignment="1" applyProtection="1">
      <alignment horizontal="center" vertical="center" wrapText="1"/>
    </xf>
    <xf numFmtId="0" fontId="36" fillId="3" borderId="9" xfId="3" applyFont="1" applyFill="1" applyBorder="1" applyAlignment="1" applyProtection="1">
      <alignment horizontal="center" vertical="center" wrapText="1"/>
    </xf>
    <xf numFmtId="0" fontId="36" fillId="3" borderId="16" xfId="3" applyFont="1" applyFill="1" applyBorder="1" applyAlignment="1" applyProtection="1">
      <alignment horizontal="center" vertical="center" wrapText="1"/>
    </xf>
    <xf numFmtId="0" fontId="4" fillId="5" borderId="0" xfId="3" applyFont="1" applyFill="1" applyBorder="1" applyAlignment="1" applyProtection="1">
      <alignment horizontal="center" vertical="center" wrapText="1"/>
    </xf>
    <xf numFmtId="0" fontId="4" fillId="5" borderId="47" xfId="0" applyFont="1" applyFill="1" applyBorder="1" applyAlignment="1" applyProtection="1">
      <alignment horizontal="center" wrapText="1"/>
    </xf>
  </cellXfs>
  <cellStyles count="7">
    <cellStyle name="Moeda" xfId="1" builtinId="4"/>
    <cellStyle name="Moeda_Plan1" xfId="6"/>
    <cellStyle name="Normal" xfId="0" builtinId="0"/>
    <cellStyle name="Normal 2" xfId="3"/>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color rgb="FF1D08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OS%20-%20TRE/SECOFC/SCCAT/Planilhas%20de%20Terceiriza&#231;&#227;o/2021/2021_5094%20Aux%20Adm%20I-II-II%20Eleicoes%202022/Planilha%20de%20Custos%20-%20Estimativa%20TRE%20-%20Aux%20Adm%20Elei&#231;&#245;es%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IVA POR POSTO"/>
      <sheetName val="ENCARGOS SOCIAIS"/>
      <sheetName val="CITL"/>
      <sheetName val="HORA EXTRA"/>
      <sheetName val="INSUMO"/>
    </sheetNames>
    <sheetDataSet>
      <sheetData sheetId="0">
        <row r="1">
          <cell r="A1" t="str">
            <v>TRIBUNAL REGIONAL ELEITORAL DO PARANÁ</v>
          </cell>
        </row>
        <row r="2">
          <cell r="A2" t="str">
            <v>PLANILHA DE CUSTOS - ESTIMATIVA TRE/PR</v>
          </cell>
        </row>
        <row r="3">
          <cell r="A3" t="str">
            <v>Posto de Trabalho - Auxiliar Administrativo I, II e III - Eleições 2022</v>
          </cell>
        </row>
      </sheetData>
      <sheetData sheetId="1"/>
      <sheetData sheetId="2" refreshError="1"/>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5"/>
  <sheetViews>
    <sheetView showGridLines="0" tabSelected="1" view="pageBreakPreview" topLeftCell="A13" zoomScale="98" zoomScaleNormal="100" zoomScaleSheetLayoutView="98" workbookViewId="0">
      <selection activeCell="I30" sqref="I30"/>
    </sheetView>
  </sheetViews>
  <sheetFormatPr defaultRowHeight="12.75" x14ac:dyDescent="0.2"/>
  <cols>
    <col min="1" max="1" width="7.140625" style="4" customWidth="1"/>
    <col min="2" max="2" width="28.28515625" style="4" customWidth="1"/>
    <col min="3" max="5" width="15.7109375" style="4" customWidth="1"/>
    <col min="6" max="9" width="8.28515625" style="4" customWidth="1"/>
    <col min="10" max="18" width="15.7109375" style="4" customWidth="1"/>
    <col min="19" max="16384" width="9.140625" style="4"/>
  </cols>
  <sheetData>
    <row r="1" spans="1:21" s="1" customFormat="1" ht="20.25" customHeight="1" x14ac:dyDescent="0.3">
      <c r="A1" s="282" t="s">
        <v>141</v>
      </c>
      <c r="B1" s="282"/>
      <c r="C1" s="282"/>
      <c r="D1" s="282"/>
      <c r="E1" s="282"/>
      <c r="F1" s="282"/>
      <c r="G1" s="282"/>
      <c r="H1" s="282"/>
      <c r="I1" s="282"/>
      <c r="J1" s="282"/>
      <c r="K1" s="282"/>
      <c r="L1" s="282"/>
      <c r="M1" s="282"/>
      <c r="N1" s="282"/>
      <c r="O1" s="282"/>
      <c r="P1" s="282"/>
      <c r="Q1" s="282"/>
      <c r="R1" s="282"/>
      <c r="S1" s="17"/>
      <c r="T1" s="17"/>
      <c r="U1" s="17"/>
    </row>
    <row r="2" spans="1:21" s="1" customFormat="1" ht="18.75" customHeight="1" x14ac:dyDescent="0.3">
      <c r="A2" s="283" t="s">
        <v>187</v>
      </c>
      <c r="B2" s="283"/>
      <c r="C2" s="283"/>
      <c r="D2" s="283"/>
      <c r="E2" s="283"/>
      <c r="F2" s="283"/>
      <c r="G2" s="283"/>
      <c r="H2" s="283"/>
      <c r="I2" s="283"/>
      <c r="J2" s="283"/>
      <c r="K2" s="283"/>
      <c r="L2" s="283"/>
      <c r="M2" s="283"/>
      <c r="N2" s="283"/>
      <c r="O2" s="283"/>
      <c r="P2" s="283"/>
      <c r="Q2" s="283"/>
      <c r="R2" s="283"/>
      <c r="S2" s="17"/>
      <c r="T2" s="17"/>
      <c r="U2" s="17"/>
    </row>
    <row r="3" spans="1:21" s="128" customFormat="1" ht="18.75" customHeight="1" x14ac:dyDescent="0.25">
      <c r="A3" s="284" t="s">
        <v>179</v>
      </c>
      <c r="B3" s="284"/>
      <c r="C3" s="284"/>
      <c r="D3" s="284"/>
      <c r="E3" s="284"/>
      <c r="F3" s="284"/>
      <c r="G3" s="284"/>
      <c r="H3" s="284"/>
      <c r="I3" s="284"/>
      <c r="J3" s="284"/>
      <c r="K3" s="284"/>
      <c r="L3" s="284"/>
      <c r="M3" s="284"/>
      <c r="N3" s="284"/>
      <c r="O3" s="284"/>
      <c r="P3" s="284"/>
      <c r="Q3" s="284"/>
      <c r="R3" s="284"/>
      <c r="S3" s="127"/>
      <c r="T3" s="127"/>
      <c r="U3" s="127"/>
    </row>
    <row r="4" spans="1:21" s="1" customFormat="1" ht="15" customHeight="1" x14ac:dyDescent="0.25">
      <c r="A4" s="105"/>
      <c r="B4" s="105"/>
      <c r="C4" s="105"/>
      <c r="D4" s="105"/>
      <c r="E4" s="105"/>
      <c r="F4" s="105"/>
      <c r="G4" s="105"/>
      <c r="H4" s="105"/>
      <c r="I4" s="105"/>
      <c r="J4" s="105"/>
      <c r="K4" s="105"/>
      <c r="L4" s="105"/>
      <c r="M4" s="105"/>
      <c r="O4" s="105"/>
      <c r="P4" s="105"/>
      <c r="Q4" s="81" t="s">
        <v>60</v>
      </c>
      <c r="R4" s="107" t="s">
        <v>173</v>
      </c>
      <c r="S4" s="230"/>
      <c r="T4" s="230"/>
      <c r="U4" s="230"/>
    </row>
    <row r="5" spans="1:21" s="1" customFormat="1" ht="15" customHeight="1" x14ac:dyDescent="0.25">
      <c r="A5" s="27"/>
      <c r="B5" s="27"/>
      <c r="C5" s="27"/>
      <c r="D5" s="27"/>
      <c r="E5" s="27"/>
      <c r="F5" s="27"/>
      <c r="G5" s="27"/>
      <c r="H5" s="27"/>
      <c r="I5" s="27"/>
      <c r="J5" s="27"/>
      <c r="K5" s="27"/>
      <c r="L5" s="27"/>
      <c r="M5" s="27"/>
      <c r="Q5" s="81" t="s">
        <v>186</v>
      </c>
      <c r="R5" s="134"/>
    </row>
    <row r="6" spans="1:21" s="1" customFormat="1" ht="15" customHeight="1" x14ac:dyDescent="0.25">
      <c r="A6" s="27"/>
      <c r="B6" s="27"/>
      <c r="C6" s="27"/>
      <c r="D6" s="27"/>
      <c r="E6" s="27"/>
      <c r="F6" s="27"/>
      <c r="G6" s="27"/>
      <c r="H6" s="27"/>
      <c r="I6" s="27"/>
      <c r="J6" s="27"/>
      <c r="K6" s="27"/>
      <c r="L6" s="27"/>
      <c r="M6" s="27"/>
      <c r="Q6" s="81" t="s">
        <v>61</v>
      </c>
      <c r="R6" s="249"/>
    </row>
    <row r="7" spans="1:21" s="1" customFormat="1" ht="15" customHeight="1" x14ac:dyDescent="0.25">
      <c r="A7" s="285"/>
      <c r="B7" s="285"/>
      <c r="C7" s="27"/>
      <c r="D7" s="27"/>
      <c r="E7" s="27"/>
      <c r="F7" s="27"/>
      <c r="G7" s="27"/>
      <c r="H7" s="27"/>
      <c r="I7" s="27"/>
      <c r="J7" s="27"/>
      <c r="K7" s="27"/>
      <c r="L7" s="27"/>
      <c r="M7" s="27"/>
      <c r="N7" s="27"/>
      <c r="O7" s="27"/>
      <c r="P7" s="27"/>
      <c r="Q7" s="27"/>
      <c r="R7" s="27"/>
    </row>
    <row r="8" spans="1:21" s="1" customFormat="1" ht="15" customHeight="1" x14ac:dyDescent="0.25">
      <c r="A8" s="301" t="s">
        <v>164</v>
      </c>
      <c r="B8" s="302"/>
      <c r="C8" s="302"/>
      <c r="D8" s="302"/>
      <c r="E8" s="302"/>
      <c r="F8" s="302"/>
      <c r="G8" s="302"/>
      <c r="H8" s="302"/>
      <c r="I8" s="302"/>
      <c r="J8" s="302"/>
      <c r="K8" s="302"/>
      <c r="L8" s="302"/>
      <c r="M8" s="302"/>
      <c r="N8" s="302"/>
      <c r="O8" s="302"/>
      <c r="P8" s="302"/>
      <c r="Q8" s="302"/>
      <c r="R8" s="303"/>
    </row>
    <row r="9" spans="1:21" s="1" customFormat="1" ht="15" customHeight="1" x14ac:dyDescent="0.25">
      <c r="A9" s="304" t="s">
        <v>165</v>
      </c>
      <c r="B9" s="305"/>
      <c r="C9" s="305"/>
      <c r="D9" s="305"/>
      <c r="E9" s="305"/>
      <c r="F9" s="305"/>
      <c r="G9" s="305"/>
      <c r="H9" s="305"/>
      <c r="I9" s="305"/>
      <c r="J9" s="305"/>
      <c r="K9" s="305"/>
      <c r="L9" s="305"/>
      <c r="M9" s="305"/>
      <c r="N9" s="305"/>
      <c r="O9" s="305"/>
      <c r="P9" s="305"/>
      <c r="Q9" s="305"/>
      <c r="R9" s="306"/>
    </row>
    <row r="10" spans="1:21" s="1" customFormat="1" ht="30" customHeight="1" x14ac:dyDescent="0.25">
      <c r="A10" s="250"/>
      <c r="B10" s="251"/>
      <c r="C10" s="251"/>
      <c r="D10" s="251"/>
      <c r="E10" s="251"/>
      <c r="F10" s="251"/>
      <c r="G10" s="251"/>
      <c r="H10" s="251"/>
      <c r="I10" s="251"/>
      <c r="J10" s="251"/>
      <c r="K10" s="251"/>
      <c r="L10" s="251"/>
      <c r="M10" s="251"/>
      <c r="N10" s="251"/>
      <c r="O10" s="251"/>
      <c r="P10" s="251"/>
      <c r="Q10" s="251"/>
      <c r="R10" s="251"/>
    </row>
    <row r="11" spans="1:21" s="38" customFormat="1" ht="15" customHeight="1" x14ac:dyDescent="0.25">
      <c r="A11" s="290" t="s">
        <v>11</v>
      </c>
      <c r="B11" s="287" t="s">
        <v>12</v>
      </c>
      <c r="C11" s="293" t="s">
        <v>22</v>
      </c>
      <c r="D11" s="294"/>
      <c r="E11" s="287" t="s">
        <v>13</v>
      </c>
      <c r="F11" s="293" t="s">
        <v>14</v>
      </c>
      <c r="G11" s="311"/>
      <c r="H11" s="311"/>
      <c r="I11" s="311"/>
      <c r="J11" s="311"/>
      <c r="K11" s="311"/>
      <c r="L11" s="311"/>
      <c r="M11" s="311"/>
      <c r="N11" s="294"/>
      <c r="O11" s="287" t="s">
        <v>14</v>
      </c>
      <c r="P11" s="287" t="s">
        <v>15</v>
      </c>
      <c r="Q11" s="287" t="s">
        <v>190</v>
      </c>
      <c r="R11" s="287" t="s">
        <v>148</v>
      </c>
    </row>
    <row r="12" spans="1:21" s="2" customFormat="1" ht="45" customHeight="1" x14ac:dyDescent="0.25">
      <c r="A12" s="291"/>
      <c r="B12" s="288"/>
      <c r="C12" s="290" t="s">
        <v>16</v>
      </c>
      <c r="D12" s="290" t="s">
        <v>17</v>
      </c>
      <c r="E12" s="288"/>
      <c r="F12" s="314" t="s">
        <v>241</v>
      </c>
      <c r="G12" s="315"/>
      <c r="H12" s="295" t="s">
        <v>193</v>
      </c>
      <c r="I12" s="296"/>
      <c r="J12" s="299" t="s">
        <v>170</v>
      </c>
      <c r="K12" s="299" t="s">
        <v>171</v>
      </c>
      <c r="L12" s="299" t="s">
        <v>172</v>
      </c>
      <c r="M12" s="299" t="s">
        <v>216</v>
      </c>
      <c r="N12" s="290" t="s">
        <v>192</v>
      </c>
      <c r="O12" s="288"/>
      <c r="P12" s="288"/>
      <c r="Q12" s="288"/>
      <c r="R12" s="288"/>
    </row>
    <row r="13" spans="1:21" s="3" customFormat="1" ht="30" customHeight="1" x14ac:dyDescent="0.25">
      <c r="A13" s="291"/>
      <c r="B13" s="288"/>
      <c r="C13" s="291"/>
      <c r="D13" s="292"/>
      <c r="E13" s="288"/>
      <c r="F13" s="63" t="s">
        <v>143</v>
      </c>
      <c r="G13" s="63" t="s">
        <v>189</v>
      </c>
      <c r="H13" s="63" t="s">
        <v>188</v>
      </c>
      <c r="I13" s="63" t="s">
        <v>143</v>
      </c>
      <c r="J13" s="300"/>
      <c r="K13" s="300"/>
      <c r="L13" s="300"/>
      <c r="M13" s="300"/>
      <c r="N13" s="291"/>
      <c r="O13" s="288"/>
      <c r="P13" s="288"/>
      <c r="Q13" s="289"/>
      <c r="R13" s="288"/>
    </row>
    <row r="14" spans="1:21" s="3" customFormat="1" ht="15" customHeight="1" x14ac:dyDescent="0.25">
      <c r="A14" s="292"/>
      <c r="B14" s="289"/>
      <c r="C14" s="292"/>
      <c r="D14" s="21">
        <f>'ENCARGOS SOCIAIS'!$F$68/100</f>
        <v>0.76482319999999993</v>
      </c>
      <c r="E14" s="289"/>
      <c r="F14" s="252">
        <v>23</v>
      </c>
      <c r="G14" s="253">
        <v>0.2</v>
      </c>
      <c r="H14" s="254">
        <v>2</v>
      </c>
      <c r="I14" s="255">
        <v>4.5</v>
      </c>
      <c r="J14" s="256">
        <v>18</v>
      </c>
      <c r="K14" s="256">
        <v>15</v>
      </c>
      <c r="L14" s="256">
        <v>21</v>
      </c>
      <c r="M14" s="257">
        <f>INSUMOS!E27</f>
        <v>46.63</v>
      </c>
      <c r="N14" s="292"/>
      <c r="O14" s="289"/>
      <c r="P14" s="289"/>
      <c r="Q14" s="22">
        <f>CITL!$B$18</f>
        <v>0.30445795339412363</v>
      </c>
      <c r="R14" s="288"/>
      <c r="S14" s="4"/>
      <c r="T14" s="4"/>
    </row>
    <row r="15" spans="1:21" s="3" customFormat="1" ht="30" customHeight="1" x14ac:dyDescent="0.25">
      <c r="A15" s="250" t="s">
        <v>149</v>
      </c>
      <c r="B15" s="144"/>
      <c r="C15" s="145"/>
      <c r="D15" s="145"/>
      <c r="E15" s="145"/>
      <c r="F15" s="258"/>
      <c r="G15" s="259"/>
      <c r="H15" s="260"/>
      <c r="I15" s="261"/>
      <c r="J15" s="262"/>
      <c r="K15" s="262"/>
      <c r="L15" s="262"/>
      <c r="M15" s="262"/>
      <c r="N15" s="146"/>
      <c r="O15" s="145"/>
      <c r="P15" s="145"/>
      <c r="Q15" s="145"/>
      <c r="R15" s="146"/>
      <c r="S15" s="4"/>
      <c r="T15" s="4"/>
    </row>
    <row r="16" spans="1:21" s="3" customFormat="1" ht="31.5" customHeight="1" x14ac:dyDescent="0.25">
      <c r="A16" s="137">
        <v>1</v>
      </c>
      <c r="B16" s="138" t="s">
        <v>160</v>
      </c>
      <c r="C16" s="263">
        <v>1423.38</v>
      </c>
      <c r="D16" s="139">
        <f>ROUND((IF(C16&lt;&gt;0,(C16)*$D$14,0)),2)</f>
        <v>1088.6300000000001</v>
      </c>
      <c r="E16" s="139">
        <f>SUM(C16:D16)</f>
        <v>2512.0100000000002</v>
      </c>
      <c r="F16" s="312">
        <f>ROUND((IF((C16&gt;0),($F$14*21)-(($F$14*21)*$G$14),0)),2)</f>
        <v>386.4</v>
      </c>
      <c r="G16" s="313"/>
      <c r="H16" s="297">
        <f>ROUND((IF($C$16&gt;0,MAX(($I$14*(21*$H$14))-(6%*$C$16),0),0)),2)</f>
        <v>103.6</v>
      </c>
      <c r="I16" s="298"/>
      <c r="J16" s="264">
        <f>J14</f>
        <v>18</v>
      </c>
      <c r="K16" s="264">
        <f>K14</f>
        <v>15</v>
      </c>
      <c r="L16" s="264">
        <f>L14</f>
        <v>21</v>
      </c>
      <c r="M16" s="264">
        <f>M14*2</f>
        <v>93.26</v>
      </c>
      <c r="N16" s="142">
        <f>INSUMOS!E24</f>
        <v>116.41583333333334</v>
      </c>
      <c r="O16" s="140">
        <f>SUM(F16:N16)</f>
        <v>753.67583333333334</v>
      </c>
      <c r="P16" s="141">
        <f>E16+O16</f>
        <v>3265.6858333333334</v>
      </c>
      <c r="Q16" s="141">
        <f>ROUND((P16*$Q$14),2)</f>
        <v>994.26</v>
      </c>
      <c r="R16" s="143">
        <f>ROUND((P16+Q16),2)</f>
        <v>4259.95</v>
      </c>
      <c r="S16" s="4"/>
      <c r="T16" s="4"/>
    </row>
    <row r="17" spans="1:20" s="1" customFormat="1" ht="30" customHeight="1" x14ac:dyDescent="0.25">
      <c r="A17" s="286" t="s">
        <v>174</v>
      </c>
      <c r="B17" s="286"/>
      <c r="C17" s="27"/>
      <c r="D17" s="27"/>
      <c r="E17" s="27"/>
      <c r="F17" s="27"/>
      <c r="G17" s="27"/>
      <c r="H17" s="27"/>
      <c r="I17" s="27"/>
      <c r="J17" s="27"/>
      <c r="K17" s="27"/>
      <c r="L17" s="27"/>
      <c r="M17" s="27"/>
      <c r="N17" s="27"/>
      <c r="O17" s="27"/>
      <c r="P17" s="27"/>
      <c r="Q17" s="27"/>
      <c r="R17" s="27"/>
    </row>
    <row r="18" spans="1:20" s="3" customFormat="1" ht="31.5" customHeight="1" x14ac:dyDescent="0.25">
      <c r="A18" s="20">
        <v>1</v>
      </c>
      <c r="B18" s="41" t="s">
        <v>160</v>
      </c>
      <c r="C18" s="265">
        <v>1423.38</v>
      </c>
      <c r="D18" s="82">
        <f>ROUND((IF(C18&lt;&gt;0,(C18)*$D$14,0)),2)</f>
        <v>1088.6300000000001</v>
      </c>
      <c r="E18" s="82">
        <f>SUM(C18:D18)</f>
        <v>2512.0100000000002</v>
      </c>
      <c r="F18" s="316">
        <f>ROUND((IF((C18&gt;0),($F$14*21)-(($F$14*21)*$G$14),0)),2)</f>
        <v>386.4</v>
      </c>
      <c r="G18" s="317"/>
      <c r="H18" s="308">
        <f>ROUND((IF($C$16&gt;0,MAX(($I$14*(21*$H$14))-(6%*$C$16),0),0)),2)</f>
        <v>103.6</v>
      </c>
      <c r="I18" s="309"/>
      <c r="J18" s="257">
        <f>J14</f>
        <v>18</v>
      </c>
      <c r="K18" s="257">
        <f>K14</f>
        <v>15</v>
      </c>
      <c r="L18" s="257">
        <f>L14</f>
        <v>21</v>
      </c>
      <c r="M18" s="257">
        <f>M14</f>
        <v>46.63</v>
      </c>
      <c r="N18" s="85">
        <f>INSUMOS!E43</f>
        <v>551.44342105263161</v>
      </c>
      <c r="O18" s="83">
        <f>SUM(F18:N18)</f>
        <v>1142.0734210526316</v>
      </c>
      <c r="P18" s="84">
        <f>E18+O18</f>
        <v>3654.0834210526318</v>
      </c>
      <c r="Q18" s="84">
        <f>ROUND((P18*$Q$14),2)</f>
        <v>1112.51</v>
      </c>
      <c r="R18" s="93">
        <f>ROUND((P18+Q18),2)</f>
        <v>4766.59</v>
      </c>
      <c r="S18" s="4"/>
      <c r="T18" s="4"/>
    </row>
    <row r="19" spans="1:20" s="1" customFormat="1" ht="15" customHeight="1" x14ac:dyDescent="0.25">
      <c r="A19" s="114"/>
      <c r="B19" s="114"/>
      <c r="C19" s="27"/>
      <c r="D19" s="27"/>
      <c r="E19" s="27"/>
      <c r="F19" s="27"/>
      <c r="G19" s="27"/>
      <c r="H19" s="27"/>
      <c r="I19" s="27"/>
      <c r="J19" s="27"/>
      <c r="K19" s="27"/>
      <c r="L19" s="27"/>
      <c r="M19" s="27"/>
      <c r="N19" s="27"/>
      <c r="O19" s="27"/>
      <c r="P19" s="27"/>
      <c r="Q19" s="27"/>
      <c r="R19" s="27"/>
    </row>
    <row r="20" spans="1:20" s="1" customFormat="1" ht="15" customHeight="1" x14ac:dyDescent="0.25">
      <c r="A20" s="114"/>
      <c r="B20" s="114"/>
      <c r="C20" s="27"/>
      <c r="D20" s="27"/>
      <c r="E20" s="27"/>
      <c r="F20" s="27"/>
      <c r="G20" s="27"/>
      <c r="H20" s="27"/>
      <c r="I20" s="27"/>
      <c r="J20" s="27"/>
      <c r="K20" s="27"/>
      <c r="L20" s="27"/>
      <c r="M20" s="27"/>
      <c r="N20" s="27"/>
      <c r="O20" s="27"/>
      <c r="P20" s="27"/>
      <c r="Q20" s="27"/>
      <c r="R20" s="27"/>
    </row>
    <row r="21" spans="1:20" ht="15" customHeight="1" x14ac:dyDescent="0.2">
      <c r="A21" s="32"/>
      <c r="B21" s="100"/>
      <c r="C21" s="108"/>
      <c r="D21" s="101"/>
      <c r="E21" s="101"/>
      <c r="F21" s="102"/>
      <c r="G21" s="102"/>
      <c r="H21" s="102"/>
      <c r="I21" s="103"/>
      <c r="J21" s="109"/>
      <c r="K21" s="109"/>
      <c r="L21" s="104" t="s">
        <v>161</v>
      </c>
      <c r="M21" s="310" t="s">
        <v>184</v>
      </c>
      <c r="N21" s="310"/>
      <c r="O21" s="310"/>
      <c r="P21" s="310"/>
      <c r="Q21" s="310"/>
      <c r="R21" s="310"/>
    </row>
    <row r="22" spans="1:20" ht="15" customHeight="1" x14ac:dyDescent="0.2">
      <c r="A22" s="27"/>
      <c r="L22" s="104" t="s">
        <v>162</v>
      </c>
      <c r="M22" s="307" t="s">
        <v>163</v>
      </c>
      <c r="N22" s="307"/>
      <c r="O22" s="307"/>
      <c r="P22" s="307"/>
      <c r="Q22" s="307"/>
      <c r="R22" s="307"/>
    </row>
    <row r="23" spans="1:20" ht="25.5" customHeight="1" thickBot="1" x14ac:dyDescent="0.35">
      <c r="A23" s="147" t="s">
        <v>156</v>
      </c>
      <c r="B23" s="110"/>
      <c r="C23" s="94"/>
      <c r="D23" s="94"/>
      <c r="E23" s="94"/>
      <c r="F23" s="94"/>
      <c r="G23" s="94"/>
      <c r="H23" s="94"/>
      <c r="I23" s="94"/>
      <c r="J23" s="94"/>
      <c r="K23" s="94"/>
      <c r="L23" s="94"/>
      <c r="M23" s="94"/>
      <c r="N23" s="94"/>
      <c r="O23" s="94"/>
      <c r="P23" s="94"/>
      <c r="Q23" s="94"/>
      <c r="R23" s="94"/>
    </row>
    <row r="24" spans="1:20" ht="30" customHeight="1" thickTop="1" x14ac:dyDescent="0.3">
      <c r="A24" s="97"/>
      <c r="B24" s="111"/>
      <c r="C24" s="97"/>
      <c r="D24" s="97"/>
      <c r="E24" s="97"/>
      <c r="F24" s="97"/>
      <c r="G24" s="97"/>
      <c r="H24" s="97"/>
      <c r="I24" s="97"/>
      <c r="J24" s="97"/>
      <c r="K24" s="97"/>
      <c r="L24" s="97"/>
      <c r="M24" s="97"/>
      <c r="N24" s="97"/>
      <c r="O24" s="97"/>
      <c r="P24" s="97"/>
      <c r="Q24" s="97"/>
      <c r="R24" s="97"/>
    </row>
    <row r="25" spans="1:20" ht="25.5" customHeight="1" x14ac:dyDescent="0.2">
      <c r="A25" s="135" t="s">
        <v>149</v>
      </c>
      <c r="B25" s="27"/>
      <c r="C25" s="112" t="s">
        <v>159</v>
      </c>
      <c r="D25" s="231" t="s">
        <v>157</v>
      </c>
      <c r="E25" s="231" t="s">
        <v>158</v>
      </c>
      <c r="F25" s="280" t="s">
        <v>182</v>
      </c>
      <c r="G25" s="281"/>
      <c r="H25" s="35"/>
    </row>
    <row r="26" spans="1:20" ht="25.5" customHeight="1" x14ac:dyDescent="0.2">
      <c r="A26" s="229">
        <v>1</v>
      </c>
      <c r="B26" s="113" t="s">
        <v>160</v>
      </c>
      <c r="C26" s="228">
        <f>R16</f>
        <v>4259.95</v>
      </c>
      <c r="D26" s="229">
        <v>6</v>
      </c>
      <c r="E26" s="228">
        <f>C26*D26</f>
        <v>25559.699999999997</v>
      </c>
      <c r="F26" s="278">
        <f>ROUND(E26*12,2)</f>
        <v>306716.40000000002</v>
      </c>
      <c r="G26" s="279"/>
      <c r="H26" s="149"/>
      <c r="J26" s="151"/>
      <c r="K26" s="23"/>
      <c r="L26" s="23"/>
      <c r="M26" s="23"/>
    </row>
    <row r="27" spans="1:20" ht="15" customHeight="1" x14ac:dyDescent="0.2">
      <c r="A27" s="27"/>
      <c r="E27" s="115"/>
      <c r="H27" s="150"/>
      <c r="J27" s="151"/>
      <c r="K27" s="152"/>
      <c r="L27" s="152"/>
      <c r="M27" s="152"/>
    </row>
    <row r="28" spans="1:20" ht="25.5" customHeight="1" x14ac:dyDescent="0.2">
      <c r="A28" s="148" t="s">
        <v>191</v>
      </c>
      <c r="B28" s="27"/>
      <c r="C28" s="112" t="s">
        <v>159</v>
      </c>
      <c r="D28" s="231" t="s">
        <v>157</v>
      </c>
      <c r="E28" s="231" t="s">
        <v>158</v>
      </c>
      <c r="F28" s="280" t="s">
        <v>244</v>
      </c>
      <c r="G28" s="281"/>
      <c r="H28" s="122">
        <f>3+(16/30)</f>
        <v>3.5333333333333332</v>
      </c>
      <c r="J28" s="276" t="s">
        <v>183</v>
      </c>
      <c r="K28" s="276"/>
      <c r="L28" s="152"/>
      <c r="M28" s="152"/>
    </row>
    <row r="29" spans="1:20" ht="25.5" customHeight="1" x14ac:dyDescent="0.2">
      <c r="A29" s="229">
        <v>1</v>
      </c>
      <c r="B29" s="113" t="s">
        <v>160</v>
      </c>
      <c r="C29" s="228">
        <f>R18</f>
        <v>4766.59</v>
      </c>
      <c r="D29" s="229">
        <v>3</v>
      </c>
      <c r="E29" s="121">
        <f>C29*D29</f>
        <v>14299.77</v>
      </c>
      <c r="F29" s="278">
        <f>ROUND(E29*H28,2)</f>
        <v>50525.85</v>
      </c>
      <c r="G29" s="279"/>
      <c r="H29" s="149"/>
      <c r="J29" s="277">
        <f>ROUND(F26+F29,2)</f>
        <v>357242.25</v>
      </c>
      <c r="K29" s="277"/>
    </row>
    <row r="30" spans="1:20" ht="27" customHeight="1" x14ac:dyDescent="0.2">
      <c r="A30" s="27"/>
      <c r="E30" s="116"/>
    </row>
    <row r="31" spans="1:20" ht="18" thickBot="1" x14ac:dyDescent="0.35">
      <c r="A31" s="94" t="s">
        <v>155</v>
      </c>
      <c r="B31" s="95"/>
      <c r="C31" s="96"/>
      <c r="D31" s="96"/>
      <c r="E31" s="96"/>
      <c r="F31" s="96"/>
      <c r="G31" s="96"/>
      <c r="H31" s="96"/>
      <c r="I31" s="96"/>
      <c r="J31" s="96"/>
      <c r="K31" s="96"/>
      <c r="L31" s="96"/>
      <c r="M31" s="96"/>
      <c r="N31" s="96"/>
      <c r="O31" s="96"/>
      <c r="P31" s="96"/>
      <c r="Q31" s="96"/>
      <c r="R31" s="96"/>
    </row>
    <row r="32" spans="1:20" ht="15" customHeight="1" thickTop="1" x14ac:dyDescent="0.2">
      <c r="A32" s="27"/>
      <c r="B32" s="129"/>
      <c r="C32" s="129"/>
      <c r="D32" s="129"/>
      <c r="E32" s="129"/>
      <c r="F32" s="129"/>
      <c r="G32" s="129"/>
      <c r="H32" s="129"/>
      <c r="I32" s="129"/>
      <c r="J32" s="129"/>
      <c r="K32" s="129"/>
      <c r="L32" s="129"/>
      <c r="M32" s="129"/>
      <c r="N32" s="129"/>
      <c r="O32" s="129"/>
      <c r="P32" s="129"/>
      <c r="Q32" s="129"/>
      <c r="R32" s="129"/>
    </row>
    <row r="33" spans="1:18" s="99" customFormat="1" ht="15" customHeight="1" x14ac:dyDescent="0.2">
      <c r="A33" s="98"/>
      <c r="B33" s="275" t="s">
        <v>185</v>
      </c>
      <c r="C33" s="275"/>
      <c r="D33" s="275"/>
      <c r="E33" s="275"/>
      <c r="F33" s="275"/>
      <c r="G33" s="275"/>
      <c r="H33" s="275"/>
      <c r="I33" s="275"/>
      <c r="J33" s="275"/>
      <c r="K33" s="275"/>
      <c r="L33" s="275"/>
      <c r="M33" s="275"/>
      <c r="N33" s="275"/>
      <c r="O33" s="275"/>
      <c r="P33" s="275"/>
      <c r="Q33" s="275"/>
      <c r="R33" s="275"/>
    </row>
    <row r="34" spans="1:18" s="99" customFormat="1" ht="15" customHeight="1" x14ac:dyDescent="0.2">
      <c r="A34" s="98"/>
      <c r="B34" s="275" t="s">
        <v>181</v>
      </c>
      <c r="C34" s="275"/>
      <c r="D34" s="275"/>
      <c r="E34" s="275"/>
      <c r="F34" s="275"/>
      <c r="G34" s="275"/>
      <c r="H34" s="275"/>
      <c r="I34" s="275"/>
      <c r="J34" s="275"/>
      <c r="K34" s="275"/>
      <c r="L34" s="275"/>
      <c r="M34" s="275"/>
      <c r="N34" s="275"/>
      <c r="O34" s="275"/>
      <c r="P34" s="275"/>
      <c r="Q34" s="275"/>
      <c r="R34" s="275"/>
    </row>
    <row r="35" spans="1:18" s="99" customFormat="1" ht="15" customHeight="1" x14ac:dyDescent="0.2">
      <c r="A35" s="98"/>
      <c r="B35" s="275" t="s">
        <v>194</v>
      </c>
      <c r="C35" s="275"/>
      <c r="D35" s="275"/>
      <c r="E35" s="275"/>
      <c r="F35" s="275"/>
      <c r="G35" s="275"/>
      <c r="H35" s="275"/>
      <c r="I35" s="275"/>
      <c r="J35" s="275"/>
      <c r="K35" s="275"/>
      <c r="L35" s="275"/>
      <c r="M35" s="275"/>
      <c r="N35" s="275"/>
      <c r="O35" s="275"/>
      <c r="P35" s="275"/>
      <c r="Q35" s="275"/>
      <c r="R35" s="275"/>
    </row>
    <row r="36" spans="1:18" s="99" customFormat="1" ht="15" customHeight="1" x14ac:dyDescent="0.2">
      <c r="A36" s="98"/>
      <c r="B36" s="275" t="s">
        <v>195</v>
      </c>
      <c r="C36" s="275"/>
      <c r="D36" s="275"/>
      <c r="E36" s="275"/>
      <c r="F36" s="275"/>
      <c r="G36" s="275"/>
      <c r="H36" s="275"/>
      <c r="I36" s="275"/>
      <c r="J36" s="275"/>
      <c r="K36" s="275"/>
      <c r="L36" s="275"/>
      <c r="M36" s="275"/>
      <c r="N36" s="275"/>
      <c r="O36" s="275"/>
      <c r="P36" s="275"/>
      <c r="Q36" s="275"/>
      <c r="R36" s="275"/>
    </row>
    <row r="37" spans="1:18" s="99" customFormat="1" ht="15" customHeight="1" x14ac:dyDescent="0.2">
      <c r="A37" s="98"/>
      <c r="B37" s="275" t="s">
        <v>196</v>
      </c>
      <c r="C37" s="275"/>
      <c r="D37" s="275"/>
      <c r="E37" s="275"/>
      <c r="F37" s="275"/>
      <c r="G37" s="275"/>
      <c r="H37" s="275"/>
      <c r="I37" s="275"/>
      <c r="J37" s="275"/>
      <c r="K37" s="275"/>
      <c r="L37" s="275"/>
      <c r="M37" s="275"/>
      <c r="N37" s="275"/>
      <c r="O37" s="275"/>
      <c r="P37" s="275"/>
      <c r="Q37" s="275"/>
      <c r="R37" s="275"/>
    </row>
    <row r="38" spans="1:18" s="99" customFormat="1" ht="15" customHeight="1" x14ac:dyDescent="0.2">
      <c r="A38" s="98"/>
      <c r="B38" s="275" t="s">
        <v>197</v>
      </c>
      <c r="C38" s="275"/>
      <c r="D38" s="275"/>
      <c r="E38" s="275"/>
      <c r="F38" s="275"/>
      <c r="G38" s="275"/>
      <c r="H38" s="275"/>
      <c r="I38" s="275"/>
      <c r="J38" s="275"/>
      <c r="K38" s="275"/>
      <c r="L38" s="275"/>
      <c r="M38" s="275"/>
      <c r="N38" s="275"/>
      <c r="O38" s="275"/>
      <c r="P38" s="275"/>
      <c r="Q38" s="275"/>
      <c r="R38" s="275"/>
    </row>
    <row r="39" spans="1:18" s="99" customFormat="1" ht="15" customHeight="1" x14ac:dyDescent="0.2">
      <c r="A39" s="98"/>
      <c r="B39" s="275" t="s">
        <v>198</v>
      </c>
      <c r="C39" s="275"/>
      <c r="D39" s="275"/>
      <c r="E39" s="275"/>
      <c r="F39" s="275"/>
      <c r="G39" s="275"/>
      <c r="H39" s="275"/>
      <c r="I39" s="275"/>
      <c r="J39" s="275"/>
      <c r="K39" s="275"/>
      <c r="L39" s="275"/>
      <c r="M39" s="275"/>
      <c r="N39" s="275"/>
      <c r="O39" s="275"/>
      <c r="P39" s="275"/>
      <c r="Q39" s="275"/>
      <c r="R39" s="275"/>
    </row>
    <row r="40" spans="1:18" s="99" customFormat="1" ht="15" customHeight="1" x14ac:dyDescent="0.2">
      <c r="A40" s="98"/>
      <c r="B40" s="275" t="s">
        <v>199</v>
      </c>
      <c r="C40" s="275"/>
      <c r="D40" s="275"/>
      <c r="E40" s="275"/>
      <c r="F40" s="275"/>
      <c r="G40" s="275"/>
      <c r="H40" s="275"/>
      <c r="I40" s="275"/>
      <c r="J40" s="275"/>
      <c r="K40" s="275"/>
      <c r="L40" s="275"/>
      <c r="M40" s="275"/>
      <c r="N40" s="275"/>
      <c r="O40" s="275"/>
      <c r="P40" s="275"/>
      <c r="Q40" s="275"/>
      <c r="R40" s="275"/>
    </row>
    <row r="41" spans="1:18" s="99" customFormat="1" ht="15" customHeight="1" x14ac:dyDescent="0.2">
      <c r="A41" s="98"/>
      <c r="B41" s="275" t="s">
        <v>200</v>
      </c>
      <c r="C41" s="275"/>
      <c r="D41" s="275"/>
      <c r="E41" s="275"/>
      <c r="F41" s="275"/>
      <c r="G41" s="275"/>
      <c r="H41" s="275"/>
      <c r="I41" s="275"/>
      <c r="J41" s="275"/>
      <c r="K41" s="275"/>
      <c r="L41" s="275"/>
      <c r="M41" s="275"/>
      <c r="N41" s="275"/>
      <c r="O41" s="275"/>
      <c r="P41" s="275"/>
      <c r="Q41" s="275"/>
      <c r="R41" s="275"/>
    </row>
    <row r="42" spans="1:18" s="99" customFormat="1" ht="15" customHeight="1" x14ac:dyDescent="0.2">
      <c r="A42" s="98"/>
      <c r="B42" s="275" t="s">
        <v>236</v>
      </c>
      <c r="C42" s="275"/>
      <c r="D42" s="275" t="e">
        <f>#REF!</f>
        <v>#REF!</v>
      </c>
      <c r="E42" s="275" t="s">
        <v>180</v>
      </c>
      <c r="F42" s="275"/>
      <c r="G42" s="275"/>
      <c r="H42" s="275"/>
      <c r="I42" s="275"/>
      <c r="J42" s="275"/>
      <c r="K42" s="275"/>
      <c r="L42" s="275"/>
      <c r="M42" s="275"/>
      <c r="N42" s="275"/>
      <c r="O42" s="275"/>
      <c r="P42" s="275"/>
      <c r="Q42" s="275"/>
      <c r="R42" s="275"/>
    </row>
    <row r="43" spans="1:18" s="99" customFormat="1" ht="15" customHeight="1" x14ac:dyDescent="0.2">
      <c r="A43" s="98"/>
      <c r="B43" s="275" t="s">
        <v>201</v>
      </c>
      <c r="C43" s="275"/>
      <c r="D43" s="275"/>
      <c r="E43" s="275"/>
      <c r="F43" s="275"/>
      <c r="G43" s="275"/>
      <c r="H43" s="275"/>
      <c r="I43" s="275"/>
      <c r="J43" s="275"/>
      <c r="K43" s="275"/>
      <c r="L43" s="275"/>
      <c r="M43" s="275"/>
      <c r="N43" s="275"/>
      <c r="O43" s="275"/>
      <c r="P43" s="275"/>
      <c r="Q43" s="275"/>
      <c r="R43" s="275"/>
    </row>
    <row r="44" spans="1:18" ht="15" customHeight="1" x14ac:dyDescent="0.2">
      <c r="A44" s="27"/>
      <c r="B44" s="275"/>
      <c r="C44" s="275"/>
      <c r="D44" s="275"/>
      <c r="E44" s="275"/>
      <c r="F44" s="275"/>
      <c r="G44" s="275"/>
      <c r="H44" s="275"/>
      <c r="I44" s="275"/>
      <c r="J44" s="275"/>
      <c r="K44" s="275"/>
      <c r="L44" s="275"/>
      <c r="M44" s="275"/>
      <c r="N44" s="275"/>
      <c r="O44" s="275"/>
      <c r="P44" s="275"/>
      <c r="Q44" s="275"/>
      <c r="R44" s="275"/>
    </row>
    <row r="45" spans="1:18" ht="15" customHeight="1" x14ac:dyDescent="0.2">
      <c r="A45" s="27"/>
      <c r="B45" s="136" t="s">
        <v>169</v>
      </c>
      <c r="C45" s="28"/>
      <c r="D45" s="28"/>
      <c r="E45" s="28"/>
      <c r="F45" s="28"/>
      <c r="G45" s="28"/>
      <c r="H45" s="28"/>
      <c r="I45" s="28"/>
      <c r="J45" s="28"/>
      <c r="K45" s="28"/>
      <c r="L45" s="28"/>
      <c r="M45" s="28"/>
      <c r="N45" s="28"/>
      <c r="O45" s="28"/>
      <c r="P45" s="28"/>
      <c r="Q45" s="28"/>
      <c r="R45" s="28"/>
    </row>
  </sheetData>
  <sheetProtection algorithmName="SHA-512" hashValue="O+mquKf8S/6RosWxqTCuFMbIUlbh1O5h2Gw9QDnwJeFhEYsy0YAUnSbfdANegeRt6j5sEgKKwL0fwjQD8dlW7w==" saltValue="UonUETw8W8DU/6qLVGZ3Xw==" spinCount="100000" sheet="1" objects="1" scenarios="1" selectLockedCells="1"/>
  <mergeCells count="49">
    <mergeCell ref="F26:G26"/>
    <mergeCell ref="D12:D13"/>
    <mergeCell ref="P11:P14"/>
    <mergeCell ref="Q11:Q13"/>
    <mergeCell ref="F11:N11"/>
    <mergeCell ref="F16:G16"/>
    <mergeCell ref="F12:G12"/>
    <mergeCell ref="F18:G18"/>
    <mergeCell ref="A11:A14"/>
    <mergeCell ref="A8:R8"/>
    <mergeCell ref="A9:R9"/>
    <mergeCell ref="F25:G25"/>
    <mergeCell ref="C12:C14"/>
    <mergeCell ref="M22:R22"/>
    <mergeCell ref="H18:I18"/>
    <mergeCell ref="M12:M13"/>
    <mergeCell ref="M21:R21"/>
    <mergeCell ref="A1:R1"/>
    <mergeCell ref="A2:R2"/>
    <mergeCell ref="A3:R3"/>
    <mergeCell ref="A7:B7"/>
    <mergeCell ref="A17:B17"/>
    <mergeCell ref="B11:B14"/>
    <mergeCell ref="E11:E14"/>
    <mergeCell ref="N12:N14"/>
    <mergeCell ref="O11:O14"/>
    <mergeCell ref="C11:D11"/>
    <mergeCell ref="R11:R14"/>
    <mergeCell ref="H12:I12"/>
    <mergeCell ref="H16:I16"/>
    <mergeCell ref="J12:J13"/>
    <mergeCell ref="K12:K13"/>
    <mergeCell ref="L12:L13"/>
    <mergeCell ref="B40:R40"/>
    <mergeCell ref="B41:R41"/>
    <mergeCell ref="B42:R42"/>
    <mergeCell ref="B44:R44"/>
    <mergeCell ref="J28:K28"/>
    <mergeCell ref="J29:K29"/>
    <mergeCell ref="B35:R35"/>
    <mergeCell ref="B36:R36"/>
    <mergeCell ref="B37:R37"/>
    <mergeCell ref="B38:R38"/>
    <mergeCell ref="B39:R39"/>
    <mergeCell ref="B43:R43"/>
    <mergeCell ref="F29:G29"/>
    <mergeCell ref="B33:R33"/>
    <mergeCell ref="B34:R34"/>
    <mergeCell ref="F28:G28"/>
  </mergeCells>
  <printOptions horizontalCentered="1"/>
  <pageMargins left="0.11811023622047245" right="0.11811023622047245" top="0.75" bottom="0.11811023622047245" header="0.31496062992125984" footer="0.19685039370078741"/>
  <pageSetup paperSize="9" scale="56" orientation="landscape" r:id="rId1"/>
  <headerFooter>
    <oddHeader>&amp;C&amp;G&amp;R&amp;8&amp;P</oddHeader>
    <oddFooter>&amp;L&amp;G
&amp;"Arial,Negrito"&amp;8&amp;K00-031SCCAT/CFIC/SECOFC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70"/>
  <sheetViews>
    <sheetView view="pageBreakPreview" zoomScaleSheetLayoutView="100" workbookViewId="0">
      <selection activeCell="B21" sqref="B21"/>
    </sheetView>
  </sheetViews>
  <sheetFormatPr defaultRowHeight="12.75" x14ac:dyDescent="0.2"/>
  <cols>
    <col min="1" max="6" width="9.7109375" style="266" customWidth="1"/>
    <col min="7" max="8" width="44.7109375" style="266" customWidth="1"/>
    <col min="9" max="16384" width="9.140625" style="266"/>
  </cols>
  <sheetData>
    <row r="1" spans="1:8" ht="18" x14ac:dyDescent="0.25">
      <c r="A1" s="349" t="str">
        <f>'[1]ESTIMATIVA POR POSTO'!A1:P1</f>
        <v>TRIBUNAL REGIONAL ELEITORAL DO PARANÁ</v>
      </c>
      <c r="B1" s="349"/>
      <c r="C1" s="349"/>
      <c r="D1" s="349"/>
      <c r="E1" s="349"/>
      <c r="F1" s="349"/>
      <c r="G1" s="349"/>
      <c r="H1" s="349"/>
    </row>
    <row r="2" spans="1:8" x14ac:dyDescent="0.2">
      <c r="A2" s="350" t="str">
        <f>'[1]ESTIMATIVA POR POSTO'!A2:P2</f>
        <v>PLANILHA DE CUSTOS - ESTIMATIVA TRE/PR</v>
      </c>
      <c r="B2" s="350"/>
      <c r="C2" s="350"/>
      <c r="D2" s="350"/>
      <c r="E2" s="350"/>
      <c r="F2" s="350"/>
      <c r="G2" s="350"/>
      <c r="H2" s="350"/>
    </row>
    <row r="3" spans="1:8" x14ac:dyDescent="0.2">
      <c r="A3" s="351" t="str">
        <f>'[1]ESTIMATIVA POR POSTO'!A3:P3</f>
        <v>Posto de Trabalho - Auxiliar Administrativo I, II e III - Eleições 2022</v>
      </c>
      <c r="B3" s="351"/>
      <c r="C3" s="351"/>
      <c r="D3" s="351"/>
      <c r="E3" s="351"/>
      <c r="F3" s="351"/>
      <c r="G3" s="351"/>
      <c r="H3" s="351"/>
    </row>
    <row r="4" spans="1:8" x14ac:dyDescent="0.2">
      <c r="A4" s="78"/>
      <c r="B4" s="78"/>
      <c r="C4" s="78"/>
      <c r="D4" s="78"/>
      <c r="E4" s="78"/>
      <c r="F4" s="153"/>
      <c r="G4" s="154"/>
      <c r="H4" s="154"/>
    </row>
    <row r="5" spans="1:8" x14ac:dyDescent="0.2">
      <c r="A5" s="352" t="str">
        <f>'VALOR DO POSTO'!A8:R8</f>
        <v>Nome empresarial</v>
      </c>
      <c r="B5" s="353"/>
      <c r="C5" s="353"/>
      <c r="D5" s="353"/>
      <c r="E5" s="353"/>
      <c r="F5" s="353"/>
      <c r="G5" s="353"/>
      <c r="H5" s="354"/>
    </row>
    <row r="6" spans="1:8" x14ac:dyDescent="0.2">
      <c r="A6" s="355" t="str">
        <f>'VALOR DO POSTO'!A9:R9</f>
        <v>CNPJ</v>
      </c>
      <c r="B6" s="356"/>
      <c r="C6" s="356"/>
      <c r="D6" s="356"/>
      <c r="E6" s="356"/>
      <c r="F6" s="356"/>
      <c r="G6" s="356"/>
      <c r="H6" s="357"/>
    </row>
    <row r="7" spans="1:8" x14ac:dyDescent="0.2">
      <c r="A7" s="233"/>
      <c r="B7" s="233"/>
      <c r="C7" s="233"/>
      <c r="D7" s="233"/>
      <c r="E7" s="233"/>
      <c r="F7" s="233"/>
      <c r="G7" s="233"/>
      <c r="H7" s="233"/>
    </row>
    <row r="8" spans="1:8" x14ac:dyDescent="0.2">
      <c r="A8" s="358" t="s">
        <v>62</v>
      </c>
      <c r="B8" s="359"/>
      <c r="C8" s="359"/>
      <c r="D8" s="359"/>
      <c r="E8" s="360"/>
      <c r="F8" s="193"/>
      <c r="G8" s="155" t="s">
        <v>23</v>
      </c>
      <c r="H8" s="155"/>
    </row>
    <row r="9" spans="1:8" x14ac:dyDescent="0.2">
      <c r="A9" s="361"/>
      <c r="B9" s="362"/>
      <c r="C9" s="362"/>
      <c r="D9" s="362"/>
      <c r="E9" s="363"/>
      <c r="F9" s="193" t="s">
        <v>151</v>
      </c>
      <c r="G9" s="155" t="s">
        <v>24</v>
      </c>
      <c r="H9" s="155"/>
    </row>
    <row r="10" spans="1:8" ht="13.5" thickBot="1" x14ac:dyDescent="0.25">
      <c r="A10" s="233"/>
      <c r="B10" s="233"/>
      <c r="C10" s="233"/>
      <c r="D10" s="233"/>
      <c r="E10" s="233"/>
      <c r="F10" s="233"/>
      <c r="G10" s="233"/>
      <c r="H10" s="233"/>
    </row>
    <row r="11" spans="1:8" ht="27" customHeight="1" thickBot="1" x14ac:dyDescent="0.25">
      <c r="A11" s="364" t="s">
        <v>8</v>
      </c>
      <c r="B11" s="365"/>
      <c r="C11" s="365"/>
      <c r="D11" s="365"/>
      <c r="E11" s="365"/>
      <c r="F11" s="365"/>
      <c r="G11" s="365"/>
      <c r="H11" s="366"/>
    </row>
    <row r="12" spans="1:8" x14ac:dyDescent="0.2">
      <c r="A12" s="156"/>
      <c r="B12" s="156"/>
      <c r="C12" s="156"/>
      <c r="D12" s="156"/>
      <c r="E12" s="156"/>
      <c r="F12" s="157"/>
      <c r="G12" s="154"/>
      <c r="H12" s="154"/>
    </row>
    <row r="13" spans="1:8" ht="18" thickBot="1" x14ac:dyDescent="0.35">
      <c r="A13" s="338" t="s">
        <v>63</v>
      </c>
      <c r="B13" s="338"/>
      <c r="C13" s="338"/>
      <c r="D13" s="338"/>
      <c r="E13" s="338"/>
      <c r="F13" s="338"/>
      <c r="G13" s="338"/>
      <c r="H13" s="60"/>
    </row>
    <row r="14" spans="1:8" ht="13.5" thickTop="1" x14ac:dyDescent="0.2">
      <c r="A14" s="233"/>
      <c r="B14" s="233"/>
      <c r="C14" s="233"/>
      <c r="D14" s="233"/>
      <c r="E14" s="233"/>
      <c r="F14" s="158" t="s">
        <v>5</v>
      </c>
      <c r="G14" s="158" t="s">
        <v>64</v>
      </c>
      <c r="H14" s="158" t="s">
        <v>65</v>
      </c>
    </row>
    <row r="15" spans="1:8" x14ac:dyDescent="0.2">
      <c r="A15" s="329" t="s">
        <v>0</v>
      </c>
      <c r="B15" s="330"/>
      <c r="C15" s="330"/>
      <c r="D15" s="330"/>
      <c r="E15" s="331"/>
      <c r="F15" s="186">
        <v>20</v>
      </c>
      <c r="G15" s="159" t="s">
        <v>66</v>
      </c>
      <c r="H15" s="159" t="s">
        <v>67</v>
      </c>
    </row>
    <row r="16" spans="1:8" x14ac:dyDescent="0.2">
      <c r="A16" s="329" t="s">
        <v>25</v>
      </c>
      <c r="B16" s="330"/>
      <c r="C16" s="330"/>
      <c r="D16" s="330"/>
      <c r="E16" s="331"/>
      <c r="F16" s="186">
        <v>1.5</v>
      </c>
      <c r="G16" s="159" t="s">
        <v>68</v>
      </c>
      <c r="H16" s="159" t="s">
        <v>69</v>
      </c>
    </row>
    <row r="17" spans="1:8" x14ac:dyDescent="0.2">
      <c r="A17" s="329" t="s">
        <v>1</v>
      </c>
      <c r="B17" s="330"/>
      <c r="C17" s="330"/>
      <c r="D17" s="330"/>
      <c r="E17" s="331"/>
      <c r="F17" s="186">
        <v>0.2</v>
      </c>
      <c r="G17" s="159" t="s">
        <v>70</v>
      </c>
      <c r="H17" s="159" t="s">
        <v>71</v>
      </c>
    </row>
    <row r="18" spans="1:8" x14ac:dyDescent="0.2">
      <c r="A18" s="329" t="s">
        <v>26</v>
      </c>
      <c r="B18" s="330"/>
      <c r="C18" s="330"/>
      <c r="D18" s="330"/>
      <c r="E18" s="331"/>
      <c r="F18" s="186">
        <v>1</v>
      </c>
      <c r="G18" s="159" t="s">
        <v>72</v>
      </c>
      <c r="H18" s="159" t="s">
        <v>73</v>
      </c>
    </row>
    <row r="19" spans="1:8" ht="22.5" x14ac:dyDescent="0.2">
      <c r="A19" s="329" t="s">
        <v>2</v>
      </c>
      <c r="B19" s="330"/>
      <c r="C19" s="330"/>
      <c r="D19" s="330"/>
      <c r="E19" s="331"/>
      <c r="F19" s="186">
        <v>2.5</v>
      </c>
      <c r="G19" s="159" t="s">
        <v>74</v>
      </c>
      <c r="H19" s="159" t="s">
        <v>75</v>
      </c>
    </row>
    <row r="20" spans="1:8" x14ac:dyDescent="0.2">
      <c r="A20" s="329" t="s">
        <v>4</v>
      </c>
      <c r="B20" s="330"/>
      <c r="C20" s="330"/>
      <c r="D20" s="330"/>
      <c r="E20" s="331"/>
      <c r="F20" s="186">
        <v>0.6</v>
      </c>
      <c r="G20" s="159" t="s">
        <v>76</v>
      </c>
      <c r="H20" s="159" t="s">
        <v>77</v>
      </c>
    </row>
    <row r="21" spans="1:8" ht="33.75" x14ac:dyDescent="0.2">
      <c r="A21" s="160" t="s">
        <v>202</v>
      </c>
      <c r="B21" s="190">
        <v>3</v>
      </c>
      <c r="C21" s="160" t="s">
        <v>203</v>
      </c>
      <c r="D21" s="191">
        <v>2</v>
      </c>
      <c r="E21" s="160" t="s">
        <v>204</v>
      </c>
      <c r="F21" s="161">
        <f>B21*D21</f>
        <v>6</v>
      </c>
      <c r="G21" s="159" t="s">
        <v>136</v>
      </c>
      <c r="H21" s="159" t="s">
        <v>205</v>
      </c>
    </row>
    <row r="22" spans="1:8" ht="23.25" thickBot="1" x14ac:dyDescent="0.25">
      <c r="A22" s="342" t="s">
        <v>3</v>
      </c>
      <c r="B22" s="342"/>
      <c r="C22" s="342"/>
      <c r="D22" s="342"/>
      <c r="E22" s="342"/>
      <c r="F22" s="192">
        <v>8</v>
      </c>
      <c r="G22" s="159" t="s">
        <v>78</v>
      </c>
      <c r="H22" s="159" t="s">
        <v>79</v>
      </c>
    </row>
    <row r="23" spans="1:8" ht="13.5" thickBot="1" x14ac:dyDescent="0.25">
      <c r="A23" s="318" t="s">
        <v>80</v>
      </c>
      <c r="B23" s="318"/>
      <c r="C23" s="318"/>
      <c r="D23" s="318"/>
      <c r="E23" s="319"/>
      <c r="F23" s="16">
        <f>SUM(F15:F22)</f>
        <v>39.799999999999997</v>
      </c>
      <c r="G23" s="162"/>
      <c r="H23" s="163"/>
    </row>
    <row r="24" spans="1:8" x14ac:dyDescent="0.2">
      <c r="A24" s="75"/>
      <c r="B24" s="75"/>
      <c r="C24" s="75"/>
      <c r="D24" s="75"/>
      <c r="E24" s="75"/>
      <c r="F24" s="157"/>
      <c r="G24" s="163"/>
      <c r="H24" s="163"/>
    </row>
    <row r="25" spans="1:8" ht="18" thickBot="1" x14ac:dyDescent="0.35">
      <c r="A25" s="338" t="s">
        <v>81</v>
      </c>
      <c r="B25" s="338"/>
      <c r="C25" s="338"/>
      <c r="D25" s="338"/>
      <c r="E25" s="338"/>
      <c r="F25" s="338"/>
      <c r="G25" s="338"/>
      <c r="H25" s="60"/>
    </row>
    <row r="26" spans="1:8" ht="13.5" thickTop="1" x14ac:dyDescent="0.2">
      <c r="A26" s="233"/>
      <c r="B26" s="233"/>
      <c r="C26" s="233"/>
      <c r="D26" s="233"/>
      <c r="E26" s="233"/>
      <c r="F26" s="158" t="s">
        <v>5</v>
      </c>
      <c r="G26" s="158" t="s">
        <v>64</v>
      </c>
      <c r="H26" s="158" t="s">
        <v>65</v>
      </c>
    </row>
    <row r="27" spans="1:8" ht="33.75" x14ac:dyDescent="0.2">
      <c r="A27" s="329" t="s">
        <v>27</v>
      </c>
      <c r="B27" s="330"/>
      <c r="C27" s="330"/>
      <c r="D27" s="330"/>
      <c r="E27" s="331"/>
      <c r="F27" s="189">
        <v>2.78</v>
      </c>
      <c r="G27" s="159" t="s">
        <v>82</v>
      </c>
      <c r="H27" s="159" t="s">
        <v>83</v>
      </c>
    </row>
    <row r="28" spans="1:8" ht="33.75" x14ac:dyDescent="0.2">
      <c r="A28" s="329" t="s">
        <v>28</v>
      </c>
      <c r="B28" s="330"/>
      <c r="C28" s="330"/>
      <c r="D28" s="330"/>
      <c r="E28" s="331"/>
      <c r="F28" s="189">
        <v>8.33</v>
      </c>
      <c r="G28" s="159" t="s">
        <v>84</v>
      </c>
      <c r="H28" s="159" t="s">
        <v>85</v>
      </c>
    </row>
    <row r="29" spans="1:8" x14ac:dyDescent="0.2">
      <c r="A29" s="343" t="s">
        <v>6</v>
      </c>
      <c r="B29" s="344"/>
      <c r="C29" s="344"/>
      <c r="D29" s="344"/>
      <c r="E29" s="345"/>
      <c r="F29" s="164">
        <f>F28+F27</f>
        <v>11.11</v>
      </c>
      <c r="G29" s="165"/>
      <c r="H29" s="165"/>
    </row>
    <row r="30" spans="1:8" ht="13.5" thickBot="1" x14ac:dyDescent="0.25">
      <c r="A30" s="346" t="s">
        <v>29</v>
      </c>
      <c r="B30" s="346"/>
      <c r="C30" s="346"/>
      <c r="D30" s="346"/>
      <c r="E30" s="346"/>
      <c r="F30" s="166">
        <f>F29%*F23</f>
        <v>4.4217799999999992</v>
      </c>
      <c r="G30" s="167" t="s">
        <v>86</v>
      </c>
      <c r="H30" s="167" t="s">
        <v>87</v>
      </c>
    </row>
    <row r="31" spans="1:8" ht="13.5" customHeight="1" thickBot="1" x14ac:dyDescent="0.25">
      <c r="A31" s="347" t="s">
        <v>88</v>
      </c>
      <c r="B31" s="347"/>
      <c r="C31" s="347"/>
      <c r="D31" s="347"/>
      <c r="E31" s="348"/>
      <c r="F31" s="16">
        <f>F29+F30</f>
        <v>15.531779999999998</v>
      </c>
      <c r="G31" s="168"/>
      <c r="H31" s="169"/>
    </row>
    <row r="32" spans="1:8" x14ac:dyDescent="0.2">
      <c r="A32" s="75"/>
      <c r="B32" s="75"/>
      <c r="C32" s="75"/>
      <c r="D32" s="75"/>
      <c r="E32" s="75"/>
      <c r="F32" s="157"/>
      <c r="G32" s="154"/>
      <c r="H32" s="154"/>
    </row>
    <row r="33" spans="1:8" ht="18" thickBot="1" x14ac:dyDescent="0.35">
      <c r="A33" s="338" t="s">
        <v>89</v>
      </c>
      <c r="B33" s="338"/>
      <c r="C33" s="338"/>
      <c r="D33" s="338"/>
      <c r="E33" s="338"/>
      <c r="F33" s="338"/>
      <c r="G33" s="338"/>
      <c r="H33" s="60"/>
    </row>
    <row r="34" spans="1:8" ht="13.5" thickTop="1" x14ac:dyDescent="0.2">
      <c r="A34" s="233"/>
      <c r="B34" s="233"/>
      <c r="C34" s="233"/>
      <c r="D34" s="233"/>
      <c r="E34" s="233"/>
      <c r="F34" s="158" t="s">
        <v>5</v>
      </c>
      <c r="G34" s="158" t="s">
        <v>64</v>
      </c>
      <c r="H34" s="158" t="s">
        <v>65</v>
      </c>
    </row>
    <row r="35" spans="1:8" ht="33.75" x14ac:dyDescent="0.2">
      <c r="A35" s="329" t="s">
        <v>30</v>
      </c>
      <c r="B35" s="330"/>
      <c r="C35" s="330"/>
      <c r="D35" s="330"/>
      <c r="E35" s="331"/>
      <c r="F35" s="186">
        <v>0.03</v>
      </c>
      <c r="G35" s="159" t="s">
        <v>90</v>
      </c>
      <c r="H35" s="159" t="s">
        <v>91</v>
      </c>
    </row>
    <row r="36" spans="1:8" ht="13.5" thickBot="1" x14ac:dyDescent="0.25">
      <c r="A36" s="339" t="s">
        <v>31</v>
      </c>
      <c r="B36" s="340"/>
      <c r="C36" s="340"/>
      <c r="D36" s="340"/>
      <c r="E36" s="341"/>
      <c r="F36" s="170">
        <f>F35%*F23</f>
        <v>1.1939999999999997E-2</v>
      </c>
      <c r="G36" s="167" t="s">
        <v>92</v>
      </c>
      <c r="H36" s="167" t="s">
        <v>93</v>
      </c>
    </row>
    <row r="37" spans="1:8" ht="13.5" thickBot="1" x14ac:dyDescent="0.25">
      <c r="A37" s="318" t="s">
        <v>94</v>
      </c>
      <c r="B37" s="318"/>
      <c r="C37" s="318"/>
      <c r="D37" s="318"/>
      <c r="E37" s="319"/>
      <c r="F37" s="16">
        <f>F35+F36</f>
        <v>4.1939999999999998E-2</v>
      </c>
      <c r="G37" s="162"/>
      <c r="H37" s="163"/>
    </row>
    <row r="38" spans="1:8" x14ac:dyDescent="0.2">
      <c r="A38" s="75"/>
      <c r="B38" s="75"/>
      <c r="C38" s="75"/>
      <c r="D38" s="75"/>
      <c r="E38" s="75"/>
      <c r="F38" s="157"/>
      <c r="G38" s="154"/>
      <c r="H38" s="154"/>
    </row>
    <row r="39" spans="1:8" ht="18" thickBot="1" x14ac:dyDescent="0.35">
      <c r="A39" s="232" t="s">
        <v>140</v>
      </c>
      <c r="B39" s="232"/>
      <c r="C39" s="232"/>
      <c r="D39" s="232"/>
      <c r="E39" s="232"/>
      <c r="F39" s="232"/>
      <c r="G39" s="232"/>
      <c r="H39" s="62"/>
    </row>
    <row r="40" spans="1:8" ht="13.5" thickTop="1" x14ac:dyDescent="0.2">
      <c r="A40" s="233"/>
      <c r="B40" s="233"/>
      <c r="C40" s="233"/>
      <c r="D40" s="233"/>
      <c r="E40" s="233"/>
      <c r="F40" s="158" t="s">
        <v>5</v>
      </c>
      <c r="G40" s="158" t="s">
        <v>64</v>
      </c>
      <c r="H40" s="158" t="s">
        <v>65</v>
      </c>
    </row>
    <row r="41" spans="1:8" ht="67.5" x14ac:dyDescent="0.2">
      <c r="A41" s="329" t="s">
        <v>32</v>
      </c>
      <c r="B41" s="330"/>
      <c r="C41" s="330"/>
      <c r="D41" s="330"/>
      <c r="E41" s="331"/>
      <c r="F41" s="186">
        <v>0.42</v>
      </c>
      <c r="G41" s="159" t="s">
        <v>95</v>
      </c>
      <c r="H41" s="159" t="s">
        <v>167</v>
      </c>
    </row>
    <row r="42" spans="1:8" x14ac:dyDescent="0.2">
      <c r="A42" s="329" t="s">
        <v>33</v>
      </c>
      <c r="B42" s="330"/>
      <c r="C42" s="330"/>
      <c r="D42" s="330"/>
      <c r="E42" s="331"/>
      <c r="F42" s="171">
        <f>F41*8%</f>
        <v>3.3599999999999998E-2</v>
      </c>
      <c r="G42" s="159" t="s">
        <v>96</v>
      </c>
      <c r="H42" s="172" t="s">
        <v>97</v>
      </c>
    </row>
    <row r="43" spans="1:8" x14ac:dyDescent="0.2">
      <c r="A43" s="329" t="s">
        <v>34</v>
      </c>
      <c r="B43" s="330"/>
      <c r="C43" s="330"/>
      <c r="D43" s="330"/>
      <c r="E43" s="331"/>
      <c r="F43" s="171">
        <f>F41*8%*40%</f>
        <v>1.3440000000000001E-2</v>
      </c>
      <c r="G43" s="159"/>
      <c r="H43" s="172" t="s">
        <v>154</v>
      </c>
    </row>
    <row r="44" spans="1:8" ht="45" x14ac:dyDescent="0.2">
      <c r="A44" s="329" t="s">
        <v>35</v>
      </c>
      <c r="B44" s="330"/>
      <c r="C44" s="330"/>
      <c r="D44" s="330"/>
      <c r="E44" s="331"/>
      <c r="F44" s="188">
        <v>1.94</v>
      </c>
      <c r="G44" s="159" t="s">
        <v>98</v>
      </c>
      <c r="H44" s="159" t="s">
        <v>168</v>
      </c>
    </row>
    <row r="45" spans="1:8" x14ac:dyDescent="0.2">
      <c r="A45" s="329" t="s">
        <v>36</v>
      </c>
      <c r="B45" s="330"/>
      <c r="C45" s="330"/>
      <c r="D45" s="330"/>
      <c r="E45" s="331"/>
      <c r="F45" s="171">
        <f>$F$23*F44%</f>
        <v>0.77211999999999992</v>
      </c>
      <c r="G45" s="165" t="s">
        <v>99</v>
      </c>
      <c r="H45" s="165" t="s">
        <v>100</v>
      </c>
    </row>
    <row r="46" spans="1:8" x14ac:dyDescent="0.2">
      <c r="A46" s="329" t="s">
        <v>37</v>
      </c>
      <c r="B46" s="330"/>
      <c r="C46" s="330"/>
      <c r="D46" s="330"/>
      <c r="E46" s="331"/>
      <c r="F46" s="173">
        <f>F44*8%*40%</f>
        <v>6.2080000000000003E-2</v>
      </c>
      <c r="G46" s="174"/>
      <c r="H46" s="165" t="s">
        <v>152</v>
      </c>
    </row>
    <row r="47" spans="1:8" ht="79.5" thickBot="1" x14ac:dyDescent="0.25">
      <c r="A47" s="329" t="s">
        <v>38</v>
      </c>
      <c r="B47" s="330"/>
      <c r="C47" s="330"/>
      <c r="D47" s="330"/>
      <c r="E47" s="331"/>
      <c r="F47" s="187">
        <v>3.44</v>
      </c>
      <c r="G47" s="175" t="s">
        <v>101</v>
      </c>
      <c r="H47" s="175" t="s">
        <v>153</v>
      </c>
    </row>
    <row r="48" spans="1:8" ht="13.5" thickBot="1" x14ac:dyDescent="0.25">
      <c r="A48" s="318" t="s">
        <v>102</v>
      </c>
      <c r="B48" s="318"/>
      <c r="C48" s="318"/>
      <c r="D48" s="318"/>
      <c r="E48" s="319"/>
      <c r="F48" s="16">
        <f>SUM(F41:F47)</f>
        <v>6.681239999999999</v>
      </c>
      <c r="G48" s="162"/>
      <c r="H48" s="163"/>
    </row>
    <row r="49" spans="1:13" x14ac:dyDescent="0.2">
      <c r="A49" s="176"/>
      <c r="B49" s="176"/>
      <c r="C49" s="176"/>
      <c r="D49" s="176"/>
      <c r="E49" s="176"/>
      <c r="F49" s="157"/>
      <c r="G49" s="154"/>
      <c r="H49" s="154"/>
    </row>
    <row r="50" spans="1:13" ht="18" thickBot="1" x14ac:dyDescent="0.35">
      <c r="A50" s="338" t="s">
        <v>103</v>
      </c>
      <c r="B50" s="338"/>
      <c r="C50" s="338"/>
      <c r="D50" s="338"/>
      <c r="E50" s="338"/>
      <c r="F50" s="338"/>
      <c r="G50" s="338"/>
      <c r="H50" s="60"/>
    </row>
    <row r="51" spans="1:13" ht="13.5" thickTop="1" x14ac:dyDescent="0.2">
      <c r="A51" s="233"/>
      <c r="B51" s="233"/>
      <c r="C51" s="233"/>
      <c r="D51" s="233"/>
      <c r="E51" s="233"/>
      <c r="F51" s="158" t="s">
        <v>5</v>
      </c>
      <c r="G51" s="158" t="s">
        <v>64</v>
      </c>
      <c r="H51" s="158" t="s">
        <v>65</v>
      </c>
    </row>
    <row r="52" spans="1:13" s="4" customFormat="1" ht="45" x14ac:dyDescent="0.2">
      <c r="A52" s="321" t="s">
        <v>39</v>
      </c>
      <c r="B52" s="322"/>
      <c r="C52" s="322"/>
      <c r="D52" s="322"/>
      <c r="E52" s="323"/>
      <c r="F52" s="212">
        <v>8.33</v>
      </c>
      <c r="G52" s="15" t="s">
        <v>104</v>
      </c>
      <c r="H52" s="15" t="s">
        <v>105</v>
      </c>
      <c r="I52" s="267"/>
      <c r="J52" s="267"/>
      <c r="K52" s="267"/>
      <c r="M52" s="268"/>
    </row>
    <row r="53" spans="1:13" ht="78.75" x14ac:dyDescent="0.2">
      <c r="A53" s="329" t="s">
        <v>40</v>
      </c>
      <c r="B53" s="330"/>
      <c r="C53" s="330"/>
      <c r="D53" s="330"/>
      <c r="E53" s="331"/>
      <c r="F53" s="186">
        <v>1.66</v>
      </c>
      <c r="G53" s="159" t="s">
        <v>106</v>
      </c>
      <c r="H53" s="159" t="s">
        <v>107</v>
      </c>
    </row>
    <row r="54" spans="1:13" ht="67.5" x14ac:dyDescent="0.2">
      <c r="A54" s="329" t="s">
        <v>41</v>
      </c>
      <c r="B54" s="330"/>
      <c r="C54" s="330"/>
      <c r="D54" s="330"/>
      <c r="E54" s="331"/>
      <c r="F54" s="186">
        <v>0.02</v>
      </c>
      <c r="G54" s="159" t="s">
        <v>108</v>
      </c>
      <c r="H54" s="159" t="s">
        <v>109</v>
      </c>
    </row>
    <row r="55" spans="1:13" s="4" customFormat="1" ht="56.25" x14ac:dyDescent="0.2">
      <c r="A55" s="321" t="s">
        <v>42</v>
      </c>
      <c r="B55" s="322"/>
      <c r="C55" s="322"/>
      <c r="D55" s="322"/>
      <c r="E55" s="323"/>
      <c r="F55" s="212">
        <v>0.28000000000000003</v>
      </c>
      <c r="G55" s="15" t="s">
        <v>110</v>
      </c>
      <c r="H55" s="15" t="s">
        <v>111</v>
      </c>
      <c r="I55" s="267"/>
      <c r="J55" s="267"/>
      <c r="K55" s="267"/>
    </row>
    <row r="56" spans="1:13" ht="90" x14ac:dyDescent="0.2">
      <c r="A56" s="329" t="s">
        <v>43</v>
      </c>
      <c r="B56" s="330"/>
      <c r="C56" s="330"/>
      <c r="D56" s="330"/>
      <c r="E56" s="331"/>
      <c r="F56" s="186">
        <v>0.03</v>
      </c>
      <c r="G56" s="159" t="s">
        <v>112</v>
      </c>
      <c r="H56" s="159" t="s">
        <v>113</v>
      </c>
    </row>
    <row r="57" spans="1:13" x14ac:dyDescent="0.2">
      <c r="A57" s="332" t="s">
        <v>7</v>
      </c>
      <c r="B57" s="333"/>
      <c r="C57" s="333"/>
      <c r="D57" s="333"/>
      <c r="E57" s="334"/>
      <c r="F57" s="177">
        <f>SUM(F52:F56)</f>
        <v>10.319999999999999</v>
      </c>
      <c r="G57" s="178"/>
      <c r="H57" s="178"/>
    </row>
    <row r="58" spans="1:13" ht="26.25" customHeight="1" thickBot="1" x14ac:dyDescent="0.25">
      <c r="A58" s="335" t="s">
        <v>44</v>
      </c>
      <c r="B58" s="336"/>
      <c r="C58" s="336"/>
      <c r="D58" s="336"/>
      <c r="E58" s="337"/>
      <c r="F58" s="179">
        <f>F57%*$F$23</f>
        <v>4.107359999999999</v>
      </c>
      <c r="G58" s="180" t="s">
        <v>114</v>
      </c>
      <c r="H58" s="180" t="s">
        <v>115</v>
      </c>
    </row>
    <row r="59" spans="1:13" ht="13.5" thickBot="1" x14ac:dyDescent="0.25">
      <c r="A59" s="318" t="s">
        <v>116</v>
      </c>
      <c r="B59" s="318"/>
      <c r="C59" s="318"/>
      <c r="D59" s="318"/>
      <c r="E59" s="319"/>
      <c r="F59" s="16">
        <f>F57+F58</f>
        <v>14.427359999999997</v>
      </c>
      <c r="G59" s="162"/>
      <c r="H59" s="163"/>
    </row>
    <row r="60" spans="1:13" ht="13.5" thickBot="1" x14ac:dyDescent="0.25">
      <c r="A60" s="176"/>
      <c r="B60" s="176"/>
      <c r="C60" s="176"/>
      <c r="D60" s="176"/>
      <c r="E60" s="176"/>
      <c r="F60" s="157"/>
      <c r="G60" s="154"/>
      <c r="H60" s="154"/>
    </row>
    <row r="61" spans="1:13" ht="13.5" thickBot="1" x14ac:dyDescent="0.25">
      <c r="A61" s="324" t="s">
        <v>45</v>
      </c>
      <c r="B61" s="325"/>
      <c r="C61" s="325"/>
      <c r="D61" s="325"/>
      <c r="E61" s="325"/>
      <c r="F61" s="326"/>
      <c r="G61" s="326"/>
      <c r="H61" s="327"/>
    </row>
    <row r="62" spans="1:13" x14ac:dyDescent="0.2">
      <c r="A62" s="233"/>
      <c r="B62" s="233"/>
      <c r="C62" s="233"/>
      <c r="D62" s="233"/>
      <c r="E62" s="233"/>
      <c r="F62" s="153"/>
      <c r="G62" s="181"/>
      <c r="H62" s="181"/>
    </row>
    <row r="63" spans="1:13" ht="13.5" customHeight="1" thickBot="1" x14ac:dyDescent="0.25">
      <c r="A63" s="328" t="s">
        <v>46</v>
      </c>
      <c r="B63" s="328"/>
      <c r="C63" s="328"/>
      <c r="D63" s="328"/>
      <c r="E63" s="328"/>
      <c r="F63" s="19">
        <f>F23</f>
        <v>39.799999999999997</v>
      </c>
      <c r="G63" s="233"/>
      <c r="H63" s="233"/>
    </row>
    <row r="64" spans="1:13" ht="13.5" customHeight="1" thickBot="1" x14ac:dyDescent="0.25">
      <c r="A64" s="328" t="s">
        <v>47</v>
      </c>
      <c r="B64" s="328"/>
      <c r="C64" s="328"/>
      <c r="D64" s="328"/>
      <c r="E64" s="328"/>
      <c r="F64" s="19">
        <f>F31</f>
        <v>15.531779999999998</v>
      </c>
      <c r="G64" s="233"/>
      <c r="H64" s="233"/>
    </row>
    <row r="65" spans="1:8" ht="13.5" customHeight="1" thickBot="1" x14ac:dyDescent="0.25">
      <c r="A65" s="328" t="s">
        <v>48</v>
      </c>
      <c r="B65" s="328"/>
      <c r="C65" s="328"/>
      <c r="D65" s="328"/>
      <c r="E65" s="328"/>
      <c r="F65" s="19">
        <f>F37</f>
        <v>4.1939999999999998E-2</v>
      </c>
      <c r="G65" s="233"/>
      <c r="H65" s="233"/>
    </row>
    <row r="66" spans="1:8" ht="13.5" customHeight="1" thickBot="1" x14ac:dyDescent="0.25">
      <c r="A66" s="328" t="s">
        <v>49</v>
      </c>
      <c r="B66" s="328"/>
      <c r="C66" s="328"/>
      <c r="D66" s="328"/>
      <c r="E66" s="328"/>
      <c r="F66" s="19">
        <f>F48</f>
        <v>6.681239999999999</v>
      </c>
      <c r="G66" s="233"/>
      <c r="H66" s="233"/>
    </row>
    <row r="67" spans="1:8" ht="13.5" customHeight="1" thickBot="1" x14ac:dyDescent="0.25">
      <c r="A67" s="328" t="s">
        <v>50</v>
      </c>
      <c r="B67" s="328"/>
      <c r="C67" s="328"/>
      <c r="D67" s="328"/>
      <c r="E67" s="328"/>
      <c r="F67" s="19">
        <f>F59</f>
        <v>14.427359999999997</v>
      </c>
      <c r="G67" s="233"/>
      <c r="H67" s="233"/>
    </row>
    <row r="68" spans="1:8" ht="13.5" thickBot="1" x14ac:dyDescent="0.25">
      <c r="A68" s="318" t="s">
        <v>51</v>
      </c>
      <c r="B68" s="318"/>
      <c r="C68" s="318"/>
      <c r="D68" s="318"/>
      <c r="E68" s="319"/>
      <c r="F68" s="16">
        <f>SUM(F63:F67)</f>
        <v>76.482319999999987</v>
      </c>
      <c r="G68" s="162" t="s">
        <v>5</v>
      </c>
      <c r="H68" s="163"/>
    </row>
    <row r="69" spans="1:8" ht="15" x14ac:dyDescent="0.2">
      <c r="A69" s="182"/>
      <c r="B69" s="182"/>
      <c r="C69" s="182"/>
      <c r="D69" s="182"/>
      <c r="E69" s="182"/>
      <c r="F69" s="183"/>
      <c r="G69" s="183"/>
      <c r="H69" s="183"/>
    </row>
    <row r="70" spans="1:8" x14ac:dyDescent="0.2">
      <c r="A70" s="320" t="s">
        <v>169</v>
      </c>
      <c r="B70" s="320"/>
      <c r="C70" s="320"/>
      <c r="D70" s="233"/>
      <c r="E70" s="233"/>
      <c r="F70" s="153"/>
      <c r="G70" s="154"/>
      <c r="H70" s="154"/>
    </row>
  </sheetData>
  <sheetProtection password="DAE3" sheet="1" objects="1" scenarios="1" selectLockedCells="1"/>
  <mergeCells count="51">
    <mergeCell ref="A18:E18"/>
    <mergeCell ref="A1:H1"/>
    <mergeCell ref="A2:H2"/>
    <mergeCell ref="A3:H3"/>
    <mergeCell ref="A5:H5"/>
    <mergeCell ref="A6:H6"/>
    <mergeCell ref="A8:E9"/>
    <mergeCell ref="A11:H11"/>
    <mergeCell ref="A13:G13"/>
    <mergeCell ref="A15:E15"/>
    <mergeCell ref="A16:E16"/>
    <mergeCell ref="A17:E17"/>
    <mergeCell ref="A33:G33"/>
    <mergeCell ref="A19:E19"/>
    <mergeCell ref="A20:E20"/>
    <mergeCell ref="A22:E22"/>
    <mergeCell ref="A23:E23"/>
    <mergeCell ref="A25:G25"/>
    <mergeCell ref="A27:E27"/>
    <mergeCell ref="A28:E28"/>
    <mergeCell ref="A29:E29"/>
    <mergeCell ref="A30:E30"/>
    <mergeCell ref="A31:E31"/>
    <mergeCell ref="A50:G50"/>
    <mergeCell ref="A35:E35"/>
    <mergeCell ref="A36:E36"/>
    <mergeCell ref="A37:E37"/>
    <mergeCell ref="A41:E41"/>
    <mergeCell ref="A42:E42"/>
    <mergeCell ref="A43:E43"/>
    <mergeCell ref="A44:E44"/>
    <mergeCell ref="A45:E45"/>
    <mergeCell ref="A46:E46"/>
    <mergeCell ref="A47:E47"/>
    <mergeCell ref="A48:E48"/>
    <mergeCell ref="A68:E68"/>
    <mergeCell ref="A70:C70"/>
    <mergeCell ref="A52:E52"/>
    <mergeCell ref="A55:E55"/>
    <mergeCell ref="A61:H61"/>
    <mergeCell ref="A63:E63"/>
    <mergeCell ref="A64:E64"/>
    <mergeCell ref="A65:E65"/>
    <mergeCell ref="A66:E66"/>
    <mergeCell ref="A67:E67"/>
    <mergeCell ref="A53:E53"/>
    <mergeCell ref="A54:E54"/>
    <mergeCell ref="A56:E56"/>
    <mergeCell ref="A57:E57"/>
    <mergeCell ref="A58:E58"/>
    <mergeCell ref="A59:E59"/>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9685039370078741" right="0.19685039370078741" top="0.59055118110236227" bottom="0.19685039370078741" header="0.11" footer="0.19685039370078741"/>
  <pageSetup paperSize="9" scale="65" orientation="portrait" r:id="rId1"/>
  <headerFooter>
    <oddHeader>&amp;C&amp;G&amp;R&amp;8&amp;P</oddHeader>
    <oddFooter>&amp;L&amp;G
        &amp;"Arial,Negrito"&amp;8&amp;K00-032SCCAT/CFIC/ECOFC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view="pageBreakPreview" zoomScaleNormal="100" zoomScaleSheetLayoutView="100" workbookViewId="0">
      <selection activeCell="A18" sqref="A18"/>
    </sheetView>
  </sheetViews>
  <sheetFormatPr defaultRowHeight="15" x14ac:dyDescent="0.25"/>
  <cols>
    <col min="1" max="1" width="47" style="269" customWidth="1"/>
    <col min="2" max="2" width="17.28515625" style="269" customWidth="1"/>
    <col min="3" max="16384" width="9.140625" style="269"/>
  </cols>
  <sheetData>
    <row r="1" spans="1:2" x14ac:dyDescent="0.25">
      <c r="A1" s="371" t="str">
        <f>'VALOR DO POSTO'!A1:R1</f>
        <v>TRIBUNAL REGIONAL ELEITORAL DO PARANÁ</v>
      </c>
      <c r="B1" s="371"/>
    </row>
    <row r="2" spans="1:2" x14ac:dyDescent="0.25">
      <c r="A2" s="372" t="str">
        <f>'VALOR DO POSTO'!A2:R2</f>
        <v>Planilha de Custos e Formação de Preços - ESTIMATIVA TRE-PR</v>
      </c>
      <c r="B2" s="372"/>
    </row>
    <row r="3" spans="1:2" ht="15" customHeight="1" x14ac:dyDescent="0.25">
      <c r="A3" s="370" t="str">
        <f>'VALOR DO POSTO'!A3:R3</f>
        <v>Posto de Trabalho - Serviços de Portaria</v>
      </c>
      <c r="B3" s="370"/>
    </row>
    <row r="4" spans="1:2" ht="15" customHeight="1" x14ac:dyDescent="0.25">
      <c r="A4" s="373"/>
      <c r="B4" s="373"/>
    </row>
    <row r="5" spans="1:2" ht="15" customHeight="1" x14ac:dyDescent="0.25">
      <c r="A5" s="374" t="str">
        <f>'VALOR DO POSTO'!A8:R8</f>
        <v>Nome empresarial</v>
      </c>
      <c r="B5" s="375"/>
    </row>
    <row r="6" spans="1:2" ht="15" customHeight="1" x14ac:dyDescent="0.25">
      <c r="A6" s="376" t="str">
        <f>'VALOR DO POSTO'!A9:R9</f>
        <v>CNPJ</v>
      </c>
      <c r="B6" s="377"/>
    </row>
    <row r="7" spans="1:2" ht="15" customHeight="1" thickBot="1" x14ac:dyDescent="0.3">
      <c r="A7" s="42"/>
      <c r="B7" s="42"/>
    </row>
    <row r="8" spans="1:2" s="270" customFormat="1" ht="30" customHeight="1" thickBot="1" x14ac:dyDescent="0.3">
      <c r="A8" s="324" t="s">
        <v>52</v>
      </c>
      <c r="B8" s="327"/>
    </row>
    <row r="9" spans="1:2" ht="15" customHeight="1" thickBot="1" x14ac:dyDescent="0.3">
      <c r="A9" s="43"/>
      <c r="B9" s="43"/>
    </row>
    <row r="10" spans="1:2" ht="15" customHeight="1" thickBot="1" x14ac:dyDescent="0.3">
      <c r="A10" s="44" t="s">
        <v>9</v>
      </c>
      <c r="B10" s="45" t="s">
        <v>10</v>
      </c>
    </row>
    <row r="11" spans="1:2" ht="15" customHeight="1" x14ac:dyDescent="0.25">
      <c r="A11" s="46" t="s">
        <v>53</v>
      </c>
      <c r="B11" s="271">
        <v>0.03</v>
      </c>
    </row>
    <row r="12" spans="1:2" ht="15" customHeight="1" x14ac:dyDescent="0.25">
      <c r="A12" s="47" t="s">
        <v>54</v>
      </c>
      <c r="B12" s="272">
        <v>6.7900000000000002E-2</v>
      </c>
    </row>
    <row r="13" spans="1:2" ht="15" customHeight="1" x14ac:dyDescent="0.25">
      <c r="A13" s="47" t="s">
        <v>55</v>
      </c>
      <c r="B13" s="272">
        <v>1.6500000000000001E-2</v>
      </c>
    </row>
    <row r="14" spans="1:2" ht="15" customHeight="1" x14ac:dyDescent="0.25">
      <c r="A14" s="47" t="s">
        <v>56</v>
      </c>
      <c r="B14" s="272">
        <v>7.5999999999999998E-2</v>
      </c>
    </row>
    <row r="15" spans="1:2" ht="15" customHeight="1" x14ac:dyDescent="0.25">
      <c r="A15" s="47" t="s">
        <v>57</v>
      </c>
      <c r="B15" s="272">
        <v>0.05</v>
      </c>
    </row>
    <row r="16" spans="1:2" ht="15" customHeight="1" thickBot="1" x14ac:dyDescent="0.3">
      <c r="A16" s="31" t="s">
        <v>137</v>
      </c>
      <c r="B16" s="273"/>
    </row>
    <row r="17" spans="1:2" ht="15" customHeight="1" thickBot="1" x14ac:dyDescent="0.3">
      <c r="A17" s="367" t="s">
        <v>138</v>
      </c>
      <c r="B17" s="367"/>
    </row>
    <row r="18" spans="1:2" ht="15" customHeight="1" thickBot="1" x14ac:dyDescent="0.3">
      <c r="A18" s="48" t="s">
        <v>18</v>
      </c>
      <c r="B18" s="30">
        <f>((1+B11)/(1-(B13+B14+B15+B16)-B12))-1</f>
        <v>0.30445795339412363</v>
      </c>
    </row>
    <row r="19" spans="1:2" ht="15" customHeight="1" x14ac:dyDescent="0.25">
      <c r="A19" s="49"/>
      <c r="B19" s="50"/>
    </row>
    <row r="20" spans="1:2" ht="15" customHeight="1" thickBot="1" x14ac:dyDescent="0.3">
      <c r="A20" s="51" t="s">
        <v>58</v>
      </c>
      <c r="B20" s="52"/>
    </row>
    <row r="21" spans="1:2" ht="15" customHeight="1" x14ac:dyDescent="0.25">
      <c r="A21" s="368" t="s">
        <v>59</v>
      </c>
      <c r="B21" s="369"/>
    </row>
    <row r="22" spans="1:2" x14ac:dyDescent="0.25">
      <c r="A22" s="274"/>
      <c r="B22" s="274"/>
    </row>
  </sheetData>
  <sheetProtection password="DAE3"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&amp;"Arial,Negrito"&amp;8&amp;K00-032SCCAT/CFIC/SECOFC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showGridLines="0" view="pageBreakPreview" topLeftCell="A29" zoomScaleNormal="100" zoomScaleSheetLayoutView="100" workbookViewId="0">
      <selection activeCell="B38" sqref="B38:I38"/>
    </sheetView>
  </sheetViews>
  <sheetFormatPr defaultColWidth="11.42578125" defaultRowHeight="12.75" x14ac:dyDescent="0.2"/>
  <cols>
    <col min="1" max="1" width="5.85546875" style="5" customWidth="1"/>
    <col min="2" max="2" width="44.5703125" style="36" customWidth="1"/>
    <col min="3" max="9" width="14.7109375" style="5" customWidth="1"/>
    <col min="10" max="10" width="14.140625" style="5" customWidth="1"/>
    <col min="11" max="14" width="17.140625" style="5" customWidth="1"/>
    <col min="15" max="15" width="19.85546875" style="5" customWidth="1"/>
    <col min="16" max="16" width="17.140625" style="5" customWidth="1"/>
    <col min="17" max="17" width="34.28515625" style="5" customWidth="1"/>
    <col min="18" max="18" width="17.7109375" style="5" customWidth="1"/>
    <col min="19" max="19" width="13.42578125" style="5" customWidth="1"/>
    <col min="20" max="21" width="11.42578125" style="5" customWidth="1"/>
    <col min="22" max="22" width="16.5703125" style="5" customWidth="1"/>
    <col min="23" max="16384" width="11.42578125" style="5"/>
  </cols>
  <sheetData>
    <row r="1" spans="1:18" ht="18" x14ac:dyDescent="0.25">
      <c r="A1" s="410" t="str">
        <f>'VALOR DO POSTO'!A1:R1</f>
        <v>TRIBUNAL REGIONAL ELEITORAL DO PARANÁ</v>
      </c>
      <c r="B1" s="410"/>
      <c r="C1" s="410"/>
      <c r="D1" s="410"/>
      <c r="E1" s="410"/>
      <c r="F1" s="410"/>
      <c r="G1" s="410"/>
      <c r="H1" s="410"/>
      <c r="I1" s="410"/>
    </row>
    <row r="2" spans="1:18" ht="15" customHeight="1" x14ac:dyDescent="0.2">
      <c r="A2" s="411" t="str">
        <f>'VALOR DO POSTO'!A2:R2</f>
        <v>Planilha de Custos e Formação de Preços - ESTIMATIVA TRE-PR</v>
      </c>
      <c r="B2" s="411"/>
      <c r="C2" s="411"/>
      <c r="D2" s="411"/>
      <c r="E2" s="411"/>
      <c r="F2" s="411"/>
      <c r="G2" s="411"/>
      <c r="H2" s="411"/>
      <c r="I2" s="411"/>
    </row>
    <row r="3" spans="1:18" ht="15" customHeight="1" x14ac:dyDescent="0.2">
      <c r="A3" s="412" t="str">
        <f>'VALOR DO POSTO'!A3:R3</f>
        <v>Posto de Trabalho - Serviços de Portaria</v>
      </c>
      <c r="B3" s="412"/>
      <c r="C3" s="412"/>
      <c r="D3" s="412"/>
      <c r="E3" s="412"/>
      <c r="F3" s="412"/>
      <c r="G3" s="412"/>
      <c r="H3" s="412"/>
      <c r="I3" s="412"/>
    </row>
    <row r="4" spans="1:18" ht="15" customHeight="1" x14ac:dyDescent="0.2">
      <c r="A4" s="238"/>
      <c r="B4" s="35"/>
      <c r="C4" s="238"/>
      <c r="D4" s="238"/>
      <c r="E4" s="238"/>
      <c r="F4" s="238"/>
      <c r="G4" s="238"/>
      <c r="H4" s="238"/>
      <c r="I4" s="238"/>
    </row>
    <row r="5" spans="1:18" ht="15" customHeight="1" x14ac:dyDescent="0.2">
      <c r="A5" s="413" t="str">
        <f>'VALOR DO POSTO'!A8:R8</f>
        <v>Nome empresarial</v>
      </c>
      <c r="B5" s="414"/>
      <c r="C5" s="414"/>
      <c r="D5" s="414"/>
      <c r="E5" s="414"/>
      <c r="F5" s="414"/>
      <c r="G5" s="414"/>
      <c r="H5" s="414"/>
      <c r="I5" s="415"/>
    </row>
    <row r="6" spans="1:18" ht="15" customHeight="1" x14ac:dyDescent="0.2">
      <c r="A6" s="416" t="str">
        <f>'VALOR DO POSTO'!A9:R9</f>
        <v>CNPJ</v>
      </c>
      <c r="B6" s="417"/>
      <c r="C6" s="417"/>
      <c r="D6" s="417"/>
      <c r="E6" s="417"/>
      <c r="F6" s="417"/>
      <c r="G6" s="417"/>
      <c r="H6" s="417"/>
      <c r="I6" s="418"/>
    </row>
    <row r="7" spans="1:18" ht="15" customHeight="1" thickBot="1" x14ac:dyDescent="0.25">
      <c r="A7" s="404"/>
      <c r="B7" s="404"/>
      <c r="C7" s="404"/>
      <c r="D7" s="404"/>
      <c r="E7" s="404"/>
      <c r="F7" s="404"/>
      <c r="G7" s="404"/>
      <c r="H7" s="404"/>
      <c r="I7" s="404"/>
    </row>
    <row r="8" spans="1:18" s="125" customFormat="1" ht="25.5" customHeight="1" thickBot="1" x14ac:dyDescent="0.25">
      <c r="A8" s="405" t="s">
        <v>117</v>
      </c>
      <c r="B8" s="406"/>
      <c r="C8" s="406"/>
      <c r="D8" s="406"/>
      <c r="E8" s="406"/>
      <c r="F8" s="406"/>
      <c r="G8" s="406"/>
      <c r="H8" s="406"/>
      <c r="I8" s="407"/>
    </row>
    <row r="9" spans="1:18" ht="15" customHeight="1" x14ac:dyDescent="0.2">
      <c r="A9" s="53"/>
      <c r="B9" s="54"/>
      <c r="C9" s="53"/>
      <c r="D9" s="53"/>
      <c r="E9" s="53"/>
      <c r="F9" s="53"/>
      <c r="G9" s="53"/>
      <c r="H9" s="53"/>
      <c r="I9" s="53"/>
    </row>
    <row r="10" spans="1:18" ht="30" customHeight="1" x14ac:dyDescent="0.2">
      <c r="A10" s="234" t="s">
        <v>11</v>
      </c>
      <c r="B10" s="55" t="s">
        <v>19</v>
      </c>
      <c r="C10" s="421" t="s">
        <v>21</v>
      </c>
      <c r="D10" s="421"/>
      <c r="E10" s="53"/>
      <c r="F10" s="53"/>
      <c r="G10" s="53"/>
      <c r="H10" s="53"/>
      <c r="I10" s="53"/>
    </row>
    <row r="11" spans="1:18" ht="30" customHeight="1" x14ac:dyDescent="0.2">
      <c r="A11" s="25">
        <v>1</v>
      </c>
      <c r="B11" s="33" t="str">
        <f>'VALOR DO POSTO'!B16</f>
        <v>Porteiro (CBO 5174-10) - 44h</v>
      </c>
      <c r="C11" s="408">
        <v>44</v>
      </c>
      <c r="D11" s="409"/>
      <c r="E11" s="53"/>
      <c r="F11" s="53"/>
      <c r="G11" s="53"/>
      <c r="H11" s="53"/>
      <c r="I11" s="53"/>
    </row>
    <row r="12" spans="1:18" ht="30" customHeight="1" thickBot="1" x14ac:dyDescent="0.3">
      <c r="A12" s="392" t="s">
        <v>122</v>
      </c>
      <c r="B12" s="392"/>
      <c r="C12" s="392"/>
      <c r="D12" s="392"/>
      <c r="E12" s="392"/>
      <c r="F12" s="392"/>
      <c r="G12" s="392"/>
      <c r="H12" s="392"/>
      <c r="I12" s="392"/>
      <c r="J12" s="13"/>
      <c r="K12" s="61"/>
      <c r="L12" s="61"/>
      <c r="M12" s="61"/>
      <c r="N12" s="61"/>
      <c r="O12" s="61"/>
      <c r="P12" s="61"/>
      <c r="Q12" s="12"/>
    </row>
    <row r="13" spans="1:18" ht="50.1" customHeight="1" thickTop="1" x14ac:dyDescent="0.2">
      <c r="A13" s="399" t="s">
        <v>11</v>
      </c>
      <c r="B13" s="400" t="s">
        <v>19</v>
      </c>
      <c r="C13" s="401" t="s">
        <v>118</v>
      </c>
      <c r="D13" s="390" t="s">
        <v>209</v>
      </c>
      <c r="E13" s="231" t="s">
        <v>20</v>
      </c>
      <c r="F13" s="231" t="s">
        <v>17</v>
      </c>
      <c r="G13" s="402" t="s">
        <v>13</v>
      </c>
      <c r="H13" s="131" t="s">
        <v>52</v>
      </c>
      <c r="I13" s="390" t="s">
        <v>124</v>
      </c>
      <c r="J13" s="13"/>
      <c r="K13" s="61"/>
      <c r="L13" s="61"/>
      <c r="M13" s="61"/>
      <c r="N13" s="61"/>
      <c r="O13" s="61"/>
      <c r="P13" s="61"/>
      <c r="Q13" s="12"/>
      <c r="R13" s="6"/>
    </row>
    <row r="14" spans="1:18" ht="15" customHeight="1" x14ac:dyDescent="0.2">
      <c r="A14" s="383"/>
      <c r="B14" s="385"/>
      <c r="C14" s="387"/>
      <c r="D14" s="391"/>
      <c r="E14" s="24">
        <v>0.2</v>
      </c>
      <c r="F14" s="24">
        <f>'ENCARGOS SOCIAIS'!$F$23/100</f>
        <v>0.39799999999999996</v>
      </c>
      <c r="G14" s="398"/>
      <c r="H14" s="24">
        <f>CITL!$B$18</f>
        <v>0.30445795339412363</v>
      </c>
      <c r="I14" s="391"/>
      <c r="J14" s="13"/>
      <c r="K14" s="61"/>
      <c r="L14" s="61"/>
      <c r="M14" s="61"/>
      <c r="N14" s="61"/>
      <c r="O14" s="61"/>
      <c r="P14" s="61"/>
      <c r="Q14" s="12"/>
      <c r="R14" s="6"/>
    </row>
    <row r="15" spans="1:18" ht="30" customHeight="1" x14ac:dyDescent="0.2">
      <c r="A15" s="20">
        <v>1</v>
      </c>
      <c r="B15" s="33" t="str">
        <f>'VALOR DO POSTO'!B16</f>
        <v>Porteiro (CBO 5174-10) - 44h</v>
      </c>
      <c r="C15" s="39">
        <f>'VALOR DO POSTO'!C16</f>
        <v>1423.38</v>
      </c>
      <c r="D15" s="39">
        <f>($C$15/($C$11*5))*1.5</f>
        <v>9.7048636363636369</v>
      </c>
      <c r="E15" s="39">
        <f t="shared" ref="E15" si="0">D15*$E$14</f>
        <v>1.9409727272727275</v>
      </c>
      <c r="F15" s="40">
        <f>(D15+E15)*$F$14</f>
        <v>4.635042872727273</v>
      </c>
      <c r="G15" s="40">
        <f t="shared" ref="G15" si="1">D15+E15+F15</f>
        <v>16.280879236363639</v>
      </c>
      <c r="H15" s="40">
        <f t="shared" ref="H15" si="2">G15*$H$14</f>
        <v>4.9568431717601555</v>
      </c>
      <c r="I15" s="92">
        <f t="shared" ref="I15" si="3">ROUND((G15+H15),2)</f>
        <v>21.24</v>
      </c>
      <c r="J15" s="13"/>
      <c r="K15" s="61"/>
      <c r="L15" s="61"/>
      <c r="M15" s="61"/>
      <c r="N15" s="61"/>
      <c r="O15" s="61"/>
      <c r="P15" s="61"/>
      <c r="Q15" s="12"/>
      <c r="R15" s="6"/>
    </row>
    <row r="16" spans="1:18" ht="30" customHeight="1" thickBot="1" x14ac:dyDescent="0.3">
      <c r="A16" s="392" t="s">
        <v>123</v>
      </c>
      <c r="B16" s="392"/>
      <c r="C16" s="392"/>
      <c r="D16" s="392"/>
      <c r="E16" s="392"/>
      <c r="F16" s="392"/>
      <c r="G16" s="392"/>
      <c r="H16" s="392"/>
      <c r="I16" s="392"/>
      <c r="J16" s="13"/>
      <c r="K16" s="61"/>
      <c r="L16" s="61"/>
      <c r="M16" s="61"/>
      <c r="N16" s="61"/>
      <c r="O16" s="61"/>
      <c r="P16" s="61"/>
      <c r="Q16" s="12"/>
      <c r="R16" s="6"/>
    </row>
    <row r="17" spans="1:18" ht="50.1" customHeight="1" thickTop="1" x14ac:dyDescent="0.2">
      <c r="A17" s="393" t="s">
        <v>11</v>
      </c>
      <c r="B17" s="394" t="s">
        <v>19</v>
      </c>
      <c r="C17" s="395" t="s">
        <v>118</v>
      </c>
      <c r="D17" s="396" t="s">
        <v>210</v>
      </c>
      <c r="E17" s="231" t="s">
        <v>20</v>
      </c>
      <c r="F17" s="231" t="s">
        <v>17</v>
      </c>
      <c r="G17" s="397" t="s">
        <v>13</v>
      </c>
      <c r="H17" s="132" t="s">
        <v>52</v>
      </c>
      <c r="I17" s="396" t="s">
        <v>125</v>
      </c>
      <c r="J17" s="13"/>
      <c r="K17" s="61"/>
      <c r="L17" s="61"/>
      <c r="M17" s="61"/>
      <c r="N17" s="61"/>
      <c r="O17" s="61"/>
      <c r="P17" s="61"/>
      <c r="Q17" s="12"/>
      <c r="R17" s="6"/>
    </row>
    <row r="18" spans="1:18" ht="15" customHeight="1" x14ac:dyDescent="0.2">
      <c r="A18" s="383"/>
      <c r="B18" s="385"/>
      <c r="C18" s="387"/>
      <c r="D18" s="391"/>
      <c r="E18" s="24">
        <v>0.2</v>
      </c>
      <c r="F18" s="24">
        <f>'ENCARGOS SOCIAIS'!$F$23/100</f>
        <v>0.39799999999999996</v>
      </c>
      <c r="G18" s="398"/>
      <c r="H18" s="24">
        <f>CITL!$B$18</f>
        <v>0.30445795339412363</v>
      </c>
      <c r="I18" s="391"/>
      <c r="J18" s="13"/>
      <c r="K18" s="61"/>
      <c r="L18" s="61"/>
      <c r="M18" s="61"/>
      <c r="N18" s="61"/>
      <c r="O18" s="61"/>
      <c r="P18" s="61"/>
      <c r="Q18" s="12"/>
      <c r="R18" s="6"/>
    </row>
    <row r="19" spans="1:18" ht="30" customHeight="1" x14ac:dyDescent="0.2">
      <c r="A19" s="20">
        <v>1</v>
      </c>
      <c r="B19" s="33" t="str">
        <f>'VALOR DO POSTO'!B16</f>
        <v>Porteiro (CBO 5174-10) - 44h</v>
      </c>
      <c r="C19" s="39">
        <f>'VALOR DO POSTO'!C16</f>
        <v>1423.38</v>
      </c>
      <c r="D19" s="39">
        <f>($C$19/($C$11*5))*2</f>
        <v>12.939818181818183</v>
      </c>
      <c r="E19" s="39">
        <f t="shared" ref="E19" si="4">D19*$E$18</f>
        <v>2.5879636363636367</v>
      </c>
      <c r="F19" s="40">
        <f t="shared" ref="F19" si="5">(D19+E19)*$F$14</f>
        <v>6.1800571636363628</v>
      </c>
      <c r="G19" s="40">
        <f t="shared" ref="G19" si="6">D19+E19+F19</f>
        <v>21.707838981818181</v>
      </c>
      <c r="H19" s="40">
        <f t="shared" ref="H19" si="7">G19*$H$14</f>
        <v>6.6091242290135401</v>
      </c>
      <c r="I19" s="92">
        <f t="shared" ref="I19" si="8">ROUND((G19+H19),2)</f>
        <v>28.32</v>
      </c>
      <c r="J19" s="13"/>
      <c r="K19" s="61"/>
      <c r="L19" s="61"/>
      <c r="M19" s="61"/>
      <c r="N19" s="61"/>
      <c r="O19" s="61"/>
      <c r="P19" s="61"/>
      <c r="Q19" s="12"/>
      <c r="R19" s="6"/>
    </row>
    <row r="20" spans="1:18" ht="30" customHeight="1" thickBot="1" x14ac:dyDescent="0.3">
      <c r="A20" s="403" t="s">
        <v>121</v>
      </c>
      <c r="B20" s="403"/>
      <c r="C20" s="403"/>
      <c r="D20" s="403"/>
      <c r="E20" s="403"/>
      <c r="F20" s="403"/>
      <c r="G20" s="403"/>
      <c r="H20" s="403"/>
      <c r="I20" s="403"/>
      <c r="J20" s="13"/>
      <c r="K20" s="61"/>
      <c r="L20" s="61"/>
      <c r="M20" s="61"/>
      <c r="N20" s="61"/>
      <c r="O20" s="61"/>
      <c r="P20" s="61"/>
      <c r="Q20" s="12"/>
      <c r="R20" s="6"/>
    </row>
    <row r="21" spans="1:18" ht="50.1" customHeight="1" thickTop="1" x14ac:dyDescent="0.2">
      <c r="A21" s="382" t="s">
        <v>11</v>
      </c>
      <c r="B21" s="384" t="s">
        <v>19</v>
      </c>
      <c r="C21" s="386" t="s">
        <v>16</v>
      </c>
      <c r="D21" s="378" t="s">
        <v>128</v>
      </c>
      <c r="E21" s="198" t="s">
        <v>20</v>
      </c>
      <c r="F21" s="198" t="s">
        <v>17</v>
      </c>
      <c r="G21" s="388" t="s">
        <v>13</v>
      </c>
      <c r="H21" s="131" t="s">
        <v>52</v>
      </c>
      <c r="I21" s="378" t="s">
        <v>126</v>
      </c>
      <c r="J21" s="13"/>
      <c r="K21" s="61"/>
      <c r="L21" s="61"/>
      <c r="M21" s="61"/>
      <c r="N21" s="61"/>
      <c r="O21" s="61"/>
      <c r="P21" s="61"/>
      <c r="Q21" s="12"/>
      <c r="R21" s="6"/>
    </row>
    <row r="22" spans="1:18" ht="15" customHeight="1" x14ac:dyDescent="0.2">
      <c r="A22" s="383"/>
      <c r="B22" s="385"/>
      <c r="C22" s="387"/>
      <c r="D22" s="379"/>
      <c r="E22" s="24">
        <v>0.2</v>
      </c>
      <c r="F22" s="24">
        <f>'ENCARGOS SOCIAIS'!$F$23/100</f>
        <v>0.39799999999999996</v>
      </c>
      <c r="G22" s="389"/>
      <c r="H22" s="24">
        <f>CITL!$B$18</f>
        <v>0.30445795339412363</v>
      </c>
      <c r="I22" s="379"/>
      <c r="J22" s="13"/>
      <c r="K22" s="61"/>
      <c r="L22" s="61"/>
      <c r="M22" s="61"/>
      <c r="N22" s="61"/>
      <c r="O22" s="61"/>
      <c r="P22" s="61"/>
      <c r="Q22" s="12"/>
      <c r="R22" s="6"/>
    </row>
    <row r="23" spans="1:18" ht="25.5" customHeight="1" x14ac:dyDescent="0.2">
      <c r="A23" s="20">
        <v>1</v>
      </c>
      <c r="B23" s="33" t="str">
        <f>'VALOR DO POSTO'!B16</f>
        <v>Porteiro (CBO 5174-10) - 44h</v>
      </c>
      <c r="C23" s="39">
        <f>'VALOR DO POSTO'!C16</f>
        <v>1423.38</v>
      </c>
      <c r="D23" s="39">
        <f>(($C$23/($C$11*5))*1.5)+(($C$23/($C$11*5))*0.2*1.1428571)</f>
        <v>11.183699944543637</v>
      </c>
      <c r="E23" s="39">
        <f t="shared" ref="E23" si="9">D23*$E$22</f>
        <v>2.2367399889087274</v>
      </c>
      <c r="F23" s="40">
        <f t="shared" ref="F23" si="10">(D23+E23)*$F$14</f>
        <v>5.3413350935140409</v>
      </c>
      <c r="G23" s="40">
        <f t="shared" ref="G23" si="11">D23+E23+F23</f>
        <v>18.761775026966404</v>
      </c>
      <c r="H23" s="40">
        <f t="shared" ref="H23" si="12">G23*$H$14</f>
        <v>5.7121716267511697</v>
      </c>
      <c r="I23" s="92">
        <f t="shared" ref="I23" si="13">ROUND((G23+H23),2)</f>
        <v>24.47</v>
      </c>
      <c r="J23" s="13"/>
      <c r="K23" s="61"/>
      <c r="L23" s="61"/>
      <c r="M23" s="61"/>
      <c r="N23" s="61"/>
      <c r="O23" s="61"/>
      <c r="P23" s="61"/>
      <c r="Q23" s="12"/>
      <c r="R23" s="6"/>
    </row>
    <row r="24" spans="1:18" ht="30" customHeight="1" thickBot="1" x14ac:dyDescent="0.3">
      <c r="A24" s="403" t="s">
        <v>119</v>
      </c>
      <c r="B24" s="403"/>
      <c r="C24" s="403"/>
      <c r="D24" s="403"/>
      <c r="E24" s="403"/>
      <c r="F24" s="403"/>
      <c r="G24" s="403"/>
      <c r="H24" s="403"/>
      <c r="I24" s="403"/>
      <c r="J24" s="13"/>
      <c r="K24" s="61"/>
      <c r="L24" s="61"/>
      <c r="M24" s="61"/>
      <c r="N24" s="61"/>
      <c r="O24" s="61"/>
      <c r="P24" s="61"/>
      <c r="Q24" s="12"/>
      <c r="R24" s="6"/>
    </row>
    <row r="25" spans="1:18" ht="50.1" customHeight="1" thickTop="1" x14ac:dyDescent="0.2">
      <c r="A25" s="382" t="s">
        <v>11</v>
      </c>
      <c r="B25" s="384" t="s">
        <v>19</v>
      </c>
      <c r="C25" s="386" t="s">
        <v>16</v>
      </c>
      <c r="D25" s="378" t="s">
        <v>129</v>
      </c>
      <c r="E25" s="198" t="s">
        <v>20</v>
      </c>
      <c r="F25" s="198" t="s">
        <v>17</v>
      </c>
      <c r="G25" s="388" t="s">
        <v>13</v>
      </c>
      <c r="H25" s="132" t="s">
        <v>120</v>
      </c>
      <c r="I25" s="378" t="s">
        <v>127</v>
      </c>
      <c r="J25" s="13"/>
      <c r="K25" s="61"/>
      <c r="L25" s="61"/>
      <c r="M25" s="61"/>
      <c r="N25" s="61"/>
      <c r="O25" s="61"/>
      <c r="P25" s="61"/>
      <c r="Q25" s="12"/>
      <c r="R25" s="6"/>
    </row>
    <row r="26" spans="1:18" ht="15" customHeight="1" x14ac:dyDescent="0.2">
      <c r="A26" s="383"/>
      <c r="B26" s="385"/>
      <c r="C26" s="387"/>
      <c r="D26" s="379"/>
      <c r="E26" s="24">
        <v>0.2</v>
      </c>
      <c r="F26" s="24">
        <f>'ENCARGOS SOCIAIS'!$F$23/100</f>
        <v>0.39799999999999996</v>
      </c>
      <c r="G26" s="389"/>
      <c r="H26" s="24">
        <f>CITL!$B$18</f>
        <v>0.30445795339412363</v>
      </c>
      <c r="I26" s="379"/>
      <c r="J26" s="13"/>
      <c r="K26" s="61"/>
      <c r="L26" s="61"/>
      <c r="M26" s="61"/>
      <c r="N26" s="61"/>
      <c r="O26" s="61"/>
      <c r="P26" s="61"/>
      <c r="Q26" s="12"/>
      <c r="R26" s="6"/>
    </row>
    <row r="27" spans="1:18" ht="25.5" customHeight="1" x14ac:dyDescent="0.2">
      <c r="A27" s="20">
        <v>1</v>
      </c>
      <c r="B27" s="33" t="str">
        <f>'VALOR DO POSTO'!B16</f>
        <v>Porteiro (CBO 5174-10) - 44h</v>
      </c>
      <c r="C27" s="39">
        <f>'VALOR DO POSTO'!C16</f>
        <v>1423.38</v>
      </c>
      <c r="D27" s="39">
        <f>(($C$27/($C$11*5))*2)+(($C$27/($C$11*5))*0.2*1.1428571)</f>
        <v>14.418654489998183</v>
      </c>
      <c r="E27" s="39">
        <f t="shared" ref="E27" si="14">D27*$E$26</f>
        <v>2.8837308979996368</v>
      </c>
      <c r="F27" s="40">
        <f t="shared" ref="F27" si="15">(D27+E27)*$F$14</f>
        <v>6.8863493844231316</v>
      </c>
      <c r="G27" s="40">
        <f t="shared" ref="G27" si="16">D27+E27+F27</f>
        <v>24.18873477242095</v>
      </c>
      <c r="H27" s="40">
        <f t="shared" ref="H27" si="17">G27*$H$14</f>
        <v>7.3644526840045552</v>
      </c>
      <c r="I27" s="92">
        <f t="shared" ref="I27" si="18">ROUND((G27+H27),2)</f>
        <v>31.55</v>
      </c>
      <c r="J27" s="13"/>
      <c r="K27" s="61"/>
      <c r="L27" s="26"/>
      <c r="M27" s="61"/>
      <c r="N27" s="61"/>
      <c r="O27" s="61"/>
      <c r="P27" s="61"/>
      <c r="Q27" s="12"/>
      <c r="R27" s="6"/>
    </row>
    <row r="28" spans="1:18" ht="30" customHeight="1" thickBot="1" x14ac:dyDescent="0.3">
      <c r="A28" s="426" t="s">
        <v>131</v>
      </c>
      <c r="B28" s="426"/>
      <c r="C28" s="426"/>
      <c r="D28" s="426"/>
      <c r="E28" s="426"/>
      <c r="F28" s="426"/>
      <c r="G28" s="426"/>
      <c r="H28" s="426"/>
      <c r="I28" s="426"/>
      <c r="J28" s="422"/>
      <c r="K28" s="422"/>
      <c r="L28" s="422"/>
      <c r="M28" s="422"/>
      <c r="N28" s="422"/>
      <c r="O28" s="422"/>
      <c r="P28" s="422"/>
      <c r="Q28" s="422"/>
      <c r="R28" s="6"/>
    </row>
    <row r="29" spans="1:18" ht="15" customHeight="1" thickTop="1" x14ac:dyDescent="0.2">
      <c r="A29" s="238"/>
      <c r="B29" s="238"/>
      <c r="C29" s="238"/>
      <c r="D29" s="238"/>
      <c r="E29" s="238"/>
      <c r="F29" s="238"/>
      <c r="G29" s="238"/>
      <c r="H29" s="238"/>
      <c r="I29" s="238"/>
      <c r="J29" s="235"/>
      <c r="K29" s="235"/>
      <c r="L29" s="235"/>
      <c r="M29" s="235"/>
      <c r="N29" s="235"/>
      <c r="O29" s="235"/>
      <c r="P29" s="235"/>
      <c r="Q29" s="235"/>
      <c r="R29" s="6"/>
    </row>
    <row r="30" spans="1:18" ht="15" customHeight="1" x14ac:dyDescent="0.2">
      <c r="A30" s="56"/>
      <c r="B30" s="199"/>
      <c r="C30" s="427" t="s">
        <v>132</v>
      </c>
      <c r="D30" s="427"/>
      <c r="E30" s="427"/>
      <c r="F30" s="23"/>
      <c r="G30" s="427" t="s">
        <v>139</v>
      </c>
      <c r="H30" s="427"/>
      <c r="I30" s="427"/>
      <c r="J30" s="235"/>
      <c r="K30" s="235"/>
      <c r="L30" s="235"/>
      <c r="M30" s="235"/>
      <c r="N30" s="235"/>
      <c r="O30" s="235"/>
      <c r="P30" s="235"/>
      <c r="Q30" s="235"/>
      <c r="R30" s="6"/>
    </row>
    <row r="31" spans="1:18" ht="50.1" customHeight="1" x14ac:dyDescent="0.2">
      <c r="A31" s="428" t="s">
        <v>11</v>
      </c>
      <c r="B31" s="401" t="s">
        <v>19</v>
      </c>
      <c r="C31" s="236" t="s">
        <v>150</v>
      </c>
      <c r="D31" s="236" t="s">
        <v>52</v>
      </c>
      <c r="E31" s="401" t="s">
        <v>134</v>
      </c>
      <c r="F31" s="35"/>
      <c r="G31" s="236" t="s">
        <v>133</v>
      </c>
      <c r="H31" s="236" t="s">
        <v>52</v>
      </c>
      <c r="I31" s="401" t="s">
        <v>135</v>
      </c>
      <c r="J31" s="235"/>
      <c r="K31" s="235"/>
      <c r="L31" s="235"/>
      <c r="M31" s="235"/>
      <c r="N31" s="235"/>
      <c r="O31" s="235"/>
      <c r="P31" s="235"/>
      <c r="Q31" s="235"/>
      <c r="R31" s="6"/>
    </row>
    <row r="32" spans="1:18" ht="15" customHeight="1" x14ac:dyDescent="0.2">
      <c r="A32" s="429"/>
      <c r="B32" s="387"/>
      <c r="C32" s="202">
        <f>'VALOR DO POSTO'!H14*'VALOR DO POSTO'!I14</f>
        <v>9</v>
      </c>
      <c r="D32" s="57">
        <f>CITL!$B$18</f>
        <v>0.30445795339412363</v>
      </c>
      <c r="E32" s="387"/>
      <c r="F32" s="64"/>
      <c r="G32" s="203">
        <f>'VALOR DO POSTO'!F14</f>
        <v>23</v>
      </c>
      <c r="H32" s="57">
        <f>CITL!$B$18</f>
        <v>0.30445795339412363</v>
      </c>
      <c r="I32" s="387"/>
      <c r="J32" s="235"/>
      <c r="K32" s="235"/>
      <c r="L32" s="235"/>
      <c r="M32" s="235"/>
      <c r="N32" s="235"/>
      <c r="O32" s="235"/>
      <c r="P32" s="235"/>
      <c r="Q32" s="235"/>
      <c r="R32" s="6"/>
    </row>
    <row r="33" spans="1:21" ht="25.5" customHeight="1" x14ac:dyDescent="0.2">
      <c r="A33" s="20">
        <v>1</v>
      </c>
      <c r="B33" s="33" t="str">
        <f>'VALOR DO POSTO'!B16</f>
        <v>Porteiro (CBO 5174-10) - 44h</v>
      </c>
      <c r="C33" s="58">
        <f>$C$32</f>
        <v>9</v>
      </c>
      <c r="D33" s="40">
        <f>C33*$D$32</f>
        <v>2.7401215805471129</v>
      </c>
      <c r="E33" s="92">
        <f t="shared" ref="E33" si="19">ROUND((C33+D33),2)</f>
        <v>11.74</v>
      </c>
      <c r="F33" s="59"/>
      <c r="G33" s="58">
        <f>$G$32</f>
        <v>23</v>
      </c>
      <c r="H33" s="40">
        <f>G33*$H$32</f>
        <v>7.0025329280648432</v>
      </c>
      <c r="I33" s="92">
        <f t="shared" ref="I33" si="20">ROUND((G33+H33),2)</f>
        <v>30</v>
      </c>
      <c r="J33" s="235"/>
      <c r="K33" s="235"/>
      <c r="L33" s="235"/>
      <c r="M33" s="235"/>
      <c r="N33" s="235"/>
      <c r="O33" s="235"/>
      <c r="P33" s="235"/>
      <c r="Q33" s="235"/>
      <c r="R33" s="6"/>
    </row>
    <row r="34" spans="1:21" s="201" customFormat="1" ht="30" customHeight="1" thickBot="1" x14ac:dyDescent="0.3">
      <c r="A34" s="380" t="s">
        <v>213</v>
      </c>
      <c r="B34" s="380"/>
      <c r="C34" s="380"/>
      <c r="D34" s="380"/>
      <c r="E34" s="380"/>
      <c r="F34" s="380"/>
      <c r="G34" s="380"/>
      <c r="H34" s="380"/>
      <c r="I34" s="380"/>
      <c r="J34" s="381"/>
      <c r="K34" s="381"/>
      <c r="L34" s="381"/>
      <c r="M34" s="381"/>
      <c r="N34" s="381"/>
      <c r="O34" s="381"/>
      <c r="P34" s="381"/>
      <c r="Q34" s="381"/>
      <c r="R34" s="200"/>
    </row>
    <row r="35" spans="1:21" ht="15" customHeight="1" thickTop="1" x14ac:dyDescent="0.2">
      <c r="A35" s="53"/>
      <c r="B35" s="423"/>
      <c r="C35" s="423"/>
      <c r="D35" s="423"/>
      <c r="E35" s="423"/>
      <c r="F35" s="423"/>
      <c r="G35" s="423"/>
      <c r="H35" s="423"/>
      <c r="I35" s="423"/>
      <c r="J35" s="8"/>
      <c r="K35" s="8"/>
      <c r="L35" s="8"/>
      <c r="M35" s="8"/>
      <c r="N35" s="8"/>
      <c r="O35" s="8"/>
      <c r="P35" s="8"/>
      <c r="Q35" s="8"/>
      <c r="R35" s="7"/>
    </row>
    <row r="36" spans="1:21" s="125" customFormat="1" ht="15" customHeight="1" x14ac:dyDescent="0.2">
      <c r="A36" s="28"/>
      <c r="B36" s="18" t="s">
        <v>206</v>
      </c>
      <c r="C36" s="185">
        <f>'ENCARGOS SOCIAIS'!F23</f>
        <v>39.799999999999997</v>
      </c>
      <c r="D36" s="18" t="s">
        <v>207</v>
      </c>
      <c r="E36" s="184"/>
      <c r="F36" s="184"/>
      <c r="G36" s="184"/>
      <c r="H36" s="184"/>
      <c r="I36" s="184"/>
      <c r="J36" s="123"/>
      <c r="K36" s="424"/>
      <c r="L36" s="424"/>
      <c r="M36" s="424"/>
      <c r="N36" s="424"/>
      <c r="O36" s="424"/>
      <c r="P36" s="424"/>
      <c r="Q36" s="424"/>
      <c r="R36" s="425"/>
      <c r="S36" s="124"/>
    </row>
    <row r="37" spans="1:21" ht="15" customHeight="1" x14ac:dyDescent="0.2">
      <c r="A37" s="53"/>
      <c r="B37" s="419" t="s">
        <v>166</v>
      </c>
      <c r="C37" s="419"/>
      <c r="D37" s="419"/>
      <c r="E37" s="419"/>
      <c r="F37" s="419"/>
      <c r="G37" s="419"/>
      <c r="H37" s="419"/>
      <c r="I37" s="419"/>
      <c r="J37" s="8"/>
      <c r="K37" s="8"/>
      <c r="L37" s="8"/>
      <c r="M37" s="8"/>
      <c r="N37" s="8"/>
      <c r="O37" s="8"/>
      <c r="P37" s="8"/>
      <c r="Q37" s="8"/>
      <c r="R37" s="8"/>
      <c r="S37" s="8"/>
    </row>
    <row r="38" spans="1:21" ht="15" customHeight="1" x14ac:dyDescent="0.2">
      <c r="A38" s="53"/>
      <c r="B38" s="419" t="s">
        <v>212</v>
      </c>
      <c r="C38" s="419"/>
      <c r="D38" s="419"/>
      <c r="E38" s="419"/>
      <c r="F38" s="419"/>
      <c r="G38" s="419"/>
      <c r="H38" s="419"/>
      <c r="I38" s="419"/>
      <c r="J38" s="8"/>
      <c r="K38" s="8"/>
      <c r="L38" s="8"/>
      <c r="M38" s="8"/>
      <c r="N38" s="8"/>
      <c r="O38" s="8"/>
      <c r="P38" s="8"/>
      <c r="Q38" s="8"/>
      <c r="R38" s="8"/>
      <c r="S38" s="8"/>
    </row>
    <row r="39" spans="1:21" ht="15" customHeight="1" x14ac:dyDescent="0.2">
      <c r="A39" s="53"/>
      <c r="B39" s="419" t="s">
        <v>211</v>
      </c>
      <c r="C39" s="419"/>
      <c r="D39" s="419"/>
      <c r="E39" s="419"/>
      <c r="F39" s="419"/>
      <c r="G39" s="419"/>
      <c r="H39" s="419"/>
      <c r="I39" s="419"/>
      <c r="R39" s="8"/>
      <c r="S39" s="8"/>
      <c r="T39" s="9"/>
      <c r="U39" s="10"/>
    </row>
    <row r="40" spans="1:21" ht="15" customHeight="1" x14ac:dyDescent="0.2">
      <c r="A40" s="53"/>
      <c r="B40" s="420" t="s">
        <v>130</v>
      </c>
      <c r="C40" s="420"/>
      <c r="D40" s="420"/>
      <c r="E40" s="420"/>
      <c r="F40" s="420"/>
      <c r="G40" s="420"/>
      <c r="H40" s="420"/>
      <c r="I40" s="420"/>
      <c r="R40" s="8"/>
      <c r="S40" s="8"/>
      <c r="T40" s="9"/>
      <c r="U40" s="10"/>
    </row>
    <row r="41" spans="1:21" x14ac:dyDescent="0.2">
      <c r="B41" s="34"/>
      <c r="C41" s="8"/>
      <c r="D41" s="8"/>
      <c r="E41" s="8"/>
      <c r="F41" s="8"/>
      <c r="G41" s="8"/>
      <c r="H41" s="8"/>
      <c r="I41" s="8"/>
      <c r="S41" s="8"/>
      <c r="T41" s="9"/>
      <c r="U41" s="10"/>
    </row>
    <row r="42" spans="1:21" x14ac:dyDescent="0.2">
      <c r="B42" s="34"/>
      <c r="C42" s="8"/>
      <c r="D42" s="8"/>
      <c r="E42" s="8"/>
      <c r="F42" s="8"/>
      <c r="G42" s="8"/>
      <c r="H42" s="8"/>
      <c r="I42" s="8"/>
    </row>
    <row r="43" spans="1:21" x14ac:dyDescent="0.2">
      <c r="B43" s="34"/>
      <c r="C43" s="8"/>
      <c r="D43" s="8"/>
      <c r="E43" s="8"/>
      <c r="F43" s="8"/>
      <c r="G43" s="8"/>
      <c r="H43" s="8"/>
      <c r="I43" s="8"/>
      <c r="T43" s="9"/>
      <c r="U43" s="9"/>
    </row>
    <row r="51" spans="2:16" x14ac:dyDescent="0.2">
      <c r="J51" s="11"/>
      <c r="K51" s="11"/>
      <c r="L51" s="11"/>
      <c r="M51" s="11"/>
      <c r="N51" s="11"/>
      <c r="O51" s="11"/>
      <c r="P51" s="11"/>
    </row>
    <row r="56" spans="2:16" x14ac:dyDescent="0.2">
      <c r="H56" s="11"/>
      <c r="I56" s="11"/>
    </row>
    <row r="58" spans="2:16" x14ac:dyDescent="0.2">
      <c r="B58" s="37"/>
      <c r="C58" s="11"/>
      <c r="D58" s="11"/>
      <c r="E58" s="11"/>
      <c r="F58" s="11"/>
      <c r="G58" s="11"/>
    </row>
  </sheetData>
  <sheetProtection password="DAE3" sheet="1" objects="1" scenarios="1" selectLockedCells="1"/>
  <mergeCells count="53">
    <mergeCell ref="B39:I39"/>
    <mergeCell ref="B40:I40"/>
    <mergeCell ref="C10:D10"/>
    <mergeCell ref="A12:I12"/>
    <mergeCell ref="J28:Q28"/>
    <mergeCell ref="B37:I37"/>
    <mergeCell ref="B35:I35"/>
    <mergeCell ref="B38:I38"/>
    <mergeCell ref="K36:R36"/>
    <mergeCell ref="A28:I28"/>
    <mergeCell ref="C30:E30"/>
    <mergeCell ref="G30:I30"/>
    <mergeCell ref="B31:B32"/>
    <mergeCell ref="A31:A32"/>
    <mergeCell ref="I31:I32"/>
    <mergeCell ref="E31:E32"/>
    <mergeCell ref="A24:I24"/>
    <mergeCell ref="A7:I7"/>
    <mergeCell ref="A8:I8"/>
    <mergeCell ref="C11:D11"/>
    <mergeCell ref="A1:I1"/>
    <mergeCell ref="A2:I2"/>
    <mergeCell ref="A3:I3"/>
    <mergeCell ref="A5:I5"/>
    <mergeCell ref="A6:I6"/>
    <mergeCell ref="A20:I20"/>
    <mergeCell ref="A21:A22"/>
    <mergeCell ref="B21:B22"/>
    <mergeCell ref="C21:C22"/>
    <mergeCell ref="D21:D22"/>
    <mergeCell ref="G21:G22"/>
    <mergeCell ref="I21:I22"/>
    <mergeCell ref="I13:I14"/>
    <mergeCell ref="A16:I16"/>
    <mergeCell ref="A17:A18"/>
    <mergeCell ref="B17:B18"/>
    <mergeCell ref="C17:C18"/>
    <mergeCell ref="D17:D18"/>
    <mergeCell ref="G17:G18"/>
    <mergeCell ref="I17:I18"/>
    <mergeCell ref="A13:A14"/>
    <mergeCell ref="B13:B14"/>
    <mergeCell ref="C13:C14"/>
    <mergeCell ref="D13:D14"/>
    <mergeCell ref="G13:G14"/>
    <mergeCell ref="I25:I26"/>
    <mergeCell ref="A34:I34"/>
    <mergeCell ref="J34:Q34"/>
    <mergeCell ref="A25:A26"/>
    <mergeCell ref="B25:B26"/>
    <mergeCell ref="C25:C26"/>
    <mergeCell ref="D25:D26"/>
    <mergeCell ref="G25:G26"/>
  </mergeCells>
  <dataValidations disablePrompts="1" count="1">
    <dataValidation allowBlank="1" showInputMessage="1" showErrorMessage="1" errorTitle="Pare !!!" error="Pare !!!" sqref="U43"/>
  </dataValidations>
  <printOptions horizontalCentered="1"/>
  <pageMargins left="0.11811023622047245" right="0.11811023622047245" top="0.76" bottom="0.26" header="0.2" footer="7.874015748031496E-2"/>
  <pageSetup paperSize="9" scale="67" orientation="portrait" r:id="rId1"/>
  <headerFooter>
    <oddHeader>&amp;C&amp;G&amp;R&amp;8&amp;P</oddHeader>
    <oddFooter>&amp;L&amp;G
&amp;"Arial,Negrito"&amp;8&amp;K00-032SCCAT/CFIC/SECFC</oddFoot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3"/>
  <sheetViews>
    <sheetView view="pageBreakPreview" zoomScaleNormal="100" zoomScaleSheetLayoutView="100" workbookViewId="0">
      <selection activeCell="H14" sqref="H14"/>
    </sheetView>
  </sheetViews>
  <sheetFormatPr defaultRowHeight="12.75" x14ac:dyDescent="0.2"/>
  <cols>
    <col min="1" max="1" width="37.42578125" style="80" customWidth="1"/>
    <col min="2" max="5" width="12.7109375" style="77" customWidth="1"/>
    <col min="6" max="6" width="2.7109375" style="77" customWidth="1"/>
    <col min="7" max="10" width="12.7109375" style="77" customWidth="1"/>
    <col min="11" max="249" width="9.140625" style="77"/>
    <col min="250" max="250" width="31.28515625" style="77" customWidth="1"/>
    <col min="251" max="251" width="18" style="77" customWidth="1"/>
    <col min="252" max="252" width="14" style="77" customWidth="1"/>
    <col min="253" max="256" width="12.42578125" style="77" customWidth="1"/>
    <col min="257" max="257" width="4.85546875" style="77" customWidth="1"/>
    <col min="258" max="261" width="12.7109375" style="77" customWidth="1"/>
    <col min="262" max="505" width="9.140625" style="77"/>
    <col min="506" max="506" width="31.28515625" style="77" customWidth="1"/>
    <col min="507" max="507" width="18" style="77" customWidth="1"/>
    <col min="508" max="508" width="14" style="77" customWidth="1"/>
    <col min="509" max="512" width="12.42578125" style="77" customWidth="1"/>
    <col min="513" max="513" width="4.85546875" style="77" customWidth="1"/>
    <col min="514" max="517" width="12.7109375" style="77" customWidth="1"/>
    <col min="518" max="761" width="9.140625" style="77"/>
    <col min="762" max="762" width="31.28515625" style="77" customWidth="1"/>
    <col min="763" max="763" width="18" style="77" customWidth="1"/>
    <col min="764" max="764" width="14" style="77" customWidth="1"/>
    <col min="765" max="768" width="12.42578125" style="77" customWidth="1"/>
    <col min="769" max="769" width="4.85546875" style="77" customWidth="1"/>
    <col min="770" max="773" width="12.7109375" style="77" customWidth="1"/>
    <col min="774" max="1017" width="9.140625" style="77"/>
    <col min="1018" max="1018" width="31.28515625" style="77" customWidth="1"/>
    <col min="1019" max="1019" width="18" style="77" customWidth="1"/>
    <col min="1020" max="1020" width="14" style="77" customWidth="1"/>
    <col min="1021" max="1024" width="12.42578125" style="77" customWidth="1"/>
    <col min="1025" max="1025" width="4.85546875" style="77" customWidth="1"/>
    <col min="1026" max="1029" width="12.7109375" style="77" customWidth="1"/>
    <col min="1030" max="1273" width="9.140625" style="77"/>
    <col min="1274" max="1274" width="31.28515625" style="77" customWidth="1"/>
    <col min="1275" max="1275" width="18" style="77" customWidth="1"/>
    <col min="1276" max="1276" width="14" style="77" customWidth="1"/>
    <col min="1277" max="1280" width="12.42578125" style="77" customWidth="1"/>
    <col min="1281" max="1281" width="4.85546875" style="77" customWidth="1"/>
    <col min="1282" max="1285" width="12.7109375" style="77" customWidth="1"/>
    <col min="1286" max="1529" width="9.140625" style="77"/>
    <col min="1530" max="1530" width="31.28515625" style="77" customWidth="1"/>
    <col min="1531" max="1531" width="18" style="77" customWidth="1"/>
    <col min="1532" max="1532" width="14" style="77" customWidth="1"/>
    <col min="1533" max="1536" width="12.42578125" style="77" customWidth="1"/>
    <col min="1537" max="1537" width="4.85546875" style="77" customWidth="1"/>
    <col min="1538" max="1541" width="12.7109375" style="77" customWidth="1"/>
    <col min="1542" max="1785" width="9.140625" style="77"/>
    <col min="1786" max="1786" width="31.28515625" style="77" customWidth="1"/>
    <col min="1787" max="1787" width="18" style="77" customWidth="1"/>
    <col min="1788" max="1788" width="14" style="77" customWidth="1"/>
    <col min="1789" max="1792" width="12.42578125" style="77" customWidth="1"/>
    <col min="1793" max="1793" width="4.85546875" style="77" customWidth="1"/>
    <col min="1794" max="1797" width="12.7109375" style="77" customWidth="1"/>
    <col min="1798" max="2041" width="9.140625" style="77"/>
    <col min="2042" max="2042" width="31.28515625" style="77" customWidth="1"/>
    <col min="2043" max="2043" width="18" style="77" customWidth="1"/>
    <col min="2044" max="2044" width="14" style="77" customWidth="1"/>
    <col min="2045" max="2048" width="12.42578125" style="77" customWidth="1"/>
    <col min="2049" max="2049" width="4.85546875" style="77" customWidth="1"/>
    <col min="2050" max="2053" width="12.7109375" style="77" customWidth="1"/>
    <col min="2054" max="2297" width="9.140625" style="77"/>
    <col min="2298" max="2298" width="31.28515625" style="77" customWidth="1"/>
    <col min="2299" max="2299" width="18" style="77" customWidth="1"/>
    <col min="2300" max="2300" width="14" style="77" customWidth="1"/>
    <col min="2301" max="2304" width="12.42578125" style="77" customWidth="1"/>
    <col min="2305" max="2305" width="4.85546875" style="77" customWidth="1"/>
    <col min="2306" max="2309" width="12.7109375" style="77" customWidth="1"/>
    <col min="2310" max="2553" width="9.140625" style="77"/>
    <col min="2554" max="2554" width="31.28515625" style="77" customWidth="1"/>
    <col min="2555" max="2555" width="18" style="77" customWidth="1"/>
    <col min="2556" max="2556" width="14" style="77" customWidth="1"/>
    <col min="2557" max="2560" width="12.42578125" style="77" customWidth="1"/>
    <col min="2561" max="2561" width="4.85546875" style="77" customWidth="1"/>
    <col min="2562" max="2565" width="12.7109375" style="77" customWidth="1"/>
    <col min="2566" max="2809" width="9.140625" style="77"/>
    <col min="2810" max="2810" width="31.28515625" style="77" customWidth="1"/>
    <col min="2811" max="2811" width="18" style="77" customWidth="1"/>
    <col min="2812" max="2812" width="14" style="77" customWidth="1"/>
    <col min="2813" max="2816" width="12.42578125" style="77" customWidth="1"/>
    <col min="2817" max="2817" width="4.85546875" style="77" customWidth="1"/>
    <col min="2818" max="2821" width="12.7109375" style="77" customWidth="1"/>
    <col min="2822" max="3065" width="9.140625" style="77"/>
    <col min="3066" max="3066" width="31.28515625" style="77" customWidth="1"/>
    <col min="3067" max="3067" width="18" style="77" customWidth="1"/>
    <col min="3068" max="3068" width="14" style="77" customWidth="1"/>
    <col min="3069" max="3072" width="12.42578125" style="77" customWidth="1"/>
    <col min="3073" max="3073" width="4.85546875" style="77" customWidth="1"/>
    <col min="3074" max="3077" width="12.7109375" style="77" customWidth="1"/>
    <col min="3078" max="3321" width="9.140625" style="77"/>
    <col min="3322" max="3322" width="31.28515625" style="77" customWidth="1"/>
    <col min="3323" max="3323" width="18" style="77" customWidth="1"/>
    <col min="3324" max="3324" width="14" style="77" customWidth="1"/>
    <col min="3325" max="3328" width="12.42578125" style="77" customWidth="1"/>
    <col min="3329" max="3329" width="4.85546875" style="77" customWidth="1"/>
    <col min="3330" max="3333" width="12.7109375" style="77" customWidth="1"/>
    <col min="3334" max="3577" width="9.140625" style="77"/>
    <col min="3578" max="3578" width="31.28515625" style="77" customWidth="1"/>
    <col min="3579" max="3579" width="18" style="77" customWidth="1"/>
    <col min="3580" max="3580" width="14" style="77" customWidth="1"/>
    <col min="3581" max="3584" width="12.42578125" style="77" customWidth="1"/>
    <col min="3585" max="3585" width="4.85546875" style="77" customWidth="1"/>
    <col min="3586" max="3589" width="12.7109375" style="77" customWidth="1"/>
    <col min="3590" max="3833" width="9.140625" style="77"/>
    <col min="3834" max="3834" width="31.28515625" style="77" customWidth="1"/>
    <col min="3835" max="3835" width="18" style="77" customWidth="1"/>
    <col min="3836" max="3836" width="14" style="77" customWidth="1"/>
    <col min="3837" max="3840" width="12.42578125" style="77" customWidth="1"/>
    <col min="3841" max="3841" width="4.85546875" style="77" customWidth="1"/>
    <col min="3842" max="3845" width="12.7109375" style="77" customWidth="1"/>
    <col min="3846" max="4089" width="9.140625" style="77"/>
    <col min="4090" max="4090" width="31.28515625" style="77" customWidth="1"/>
    <col min="4091" max="4091" width="18" style="77" customWidth="1"/>
    <col min="4092" max="4092" width="14" style="77" customWidth="1"/>
    <col min="4093" max="4096" width="12.42578125" style="77" customWidth="1"/>
    <col min="4097" max="4097" width="4.85546875" style="77" customWidth="1"/>
    <col min="4098" max="4101" width="12.7109375" style="77" customWidth="1"/>
    <col min="4102" max="4345" width="9.140625" style="77"/>
    <col min="4346" max="4346" width="31.28515625" style="77" customWidth="1"/>
    <col min="4347" max="4347" width="18" style="77" customWidth="1"/>
    <col min="4348" max="4348" width="14" style="77" customWidth="1"/>
    <col min="4349" max="4352" width="12.42578125" style="77" customWidth="1"/>
    <col min="4353" max="4353" width="4.85546875" style="77" customWidth="1"/>
    <col min="4354" max="4357" width="12.7109375" style="77" customWidth="1"/>
    <col min="4358" max="4601" width="9.140625" style="77"/>
    <col min="4602" max="4602" width="31.28515625" style="77" customWidth="1"/>
    <col min="4603" max="4603" width="18" style="77" customWidth="1"/>
    <col min="4604" max="4604" width="14" style="77" customWidth="1"/>
    <col min="4605" max="4608" width="12.42578125" style="77" customWidth="1"/>
    <col min="4609" max="4609" width="4.85546875" style="77" customWidth="1"/>
    <col min="4610" max="4613" width="12.7109375" style="77" customWidth="1"/>
    <col min="4614" max="4857" width="9.140625" style="77"/>
    <col min="4858" max="4858" width="31.28515625" style="77" customWidth="1"/>
    <col min="4859" max="4859" width="18" style="77" customWidth="1"/>
    <col min="4860" max="4860" width="14" style="77" customWidth="1"/>
    <col min="4861" max="4864" width="12.42578125" style="77" customWidth="1"/>
    <col min="4865" max="4865" width="4.85546875" style="77" customWidth="1"/>
    <col min="4866" max="4869" width="12.7109375" style="77" customWidth="1"/>
    <col min="4870" max="5113" width="9.140625" style="77"/>
    <col min="5114" max="5114" width="31.28515625" style="77" customWidth="1"/>
    <col min="5115" max="5115" width="18" style="77" customWidth="1"/>
    <col min="5116" max="5116" width="14" style="77" customWidth="1"/>
    <col min="5117" max="5120" width="12.42578125" style="77" customWidth="1"/>
    <col min="5121" max="5121" width="4.85546875" style="77" customWidth="1"/>
    <col min="5122" max="5125" width="12.7109375" style="77" customWidth="1"/>
    <col min="5126" max="5369" width="9.140625" style="77"/>
    <col min="5370" max="5370" width="31.28515625" style="77" customWidth="1"/>
    <col min="5371" max="5371" width="18" style="77" customWidth="1"/>
    <col min="5372" max="5372" width="14" style="77" customWidth="1"/>
    <col min="5373" max="5376" width="12.42578125" style="77" customWidth="1"/>
    <col min="5377" max="5377" width="4.85546875" style="77" customWidth="1"/>
    <col min="5378" max="5381" width="12.7109375" style="77" customWidth="1"/>
    <col min="5382" max="5625" width="9.140625" style="77"/>
    <col min="5626" max="5626" width="31.28515625" style="77" customWidth="1"/>
    <col min="5627" max="5627" width="18" style="77" customWidth="1"/>
    <col min="5628" max="5628" width="14" style="77" customWidth="1"/>
    <col min="5629" max="5632" width="12.42578125" style="77" customWidth="1"/>
    <col min="5633" max="5633" width="4.85546875" style="77" customWidth="1"/>
    <col min="5634" max="5637" width="12.7109375" style="77" customWidth="1"/>
    <col min="5638" max="5881" width="9.140625" style="77"/>
    <col min="5882" max="5882" width="31.28515625" style="77" customWidth="1"/>
    <col min="5883" max="5883" width="18" style="77" customWidth="1"/>
    <col min="5884" max="5884" width="14" style="77" customWidth="1"/>
    <col min="5885" max="5888" width="12.42578125" style="77" customWidth="1"/>
    <col min="5889" max="5889" width="4.85546875" style="77" customWidth="1"/>
    <col min="5890" max="5893" width="12.7109375" style="77" customWidth="1"/>
    <col min="5894" max="6137" width="9.140625" style="77"/>
    <col min="6138" max="6138" width="31.28515625" style="77" customWidth="1"/>
    <col min="6139" max="6139" width="18" style="77" customWidth="1"/>
    <col min="6140" max="6140" width="14" style="77" customWidth="1"/>
    <col min="6141" max="6144" width="12.42578125" style="77" customWidth="1"/>
    <col min="6145" max="6145" width="4.85546875" style="77" customWidth="1"/>
    <col min="6146" max="6149" width="12.7109375" style="77" customWidth="1"/>
    <col min="6150" max="6393" width="9.140625" style="77"/>
    <col min="6394" max="6394" width="31.28515625" style="77" customWidth="1"/>
    <col min="6395" max="6395" width="18" style="77" customWidth="1"/>
    <col min="6396" max="6396" width="14" style="77" customWidth="1"/>
    <col min="6397" max="6400" width="12.42578125" style="77" customWidth="1"/>
    <col min="6401" max="6401" width="4.85546875" style="77" customWidth="1"/>
    <col min="6402" max="6405" width="12.7109375" style="77" customWidth="1"/>
    <col min="6406" max="6649" width="9.140625" style="77"/>
    <col min="6650" max="6650" width="31.28515625" style="77" customWidth="1"/>
    <col min="6651" max="6651" width="18" style="77" customWidth="1"/>
    <col min="6652" max="6652" width="14" style="77" customWidth="1"/>
    <col min="6653" max="6656" width="12.42578125" style="77" customWidth="1"/>
    <col min="6657" max="6657" width="4.85546875" style="77" customWidth="1"/>
    <col min="6658" max="6661" width="12.7109375" style="77" customWidth="1"/>
    <col min="6662" max="6905" width="9.140625" style="77"/>
    <col min="6906" max="6906" width="31.28515625" style="77" customWidth="1"/>
    <col min="6907" max="6907" width="18" style="77" customWidth="1"/>
    <col min="6908" max="6908" width="14" style="77" customWidth="1"/>
    <col min="6909" max="6912" width="12.42578125" style="77" customWidth="1"/>
    <col min="6913" max="6913" width="4.85546875" style="77" customWidth="1"/>
    <col min="6914" max="6917" width="12.7109375" style="77" customWidth="1"/>
    <col min="6918" max="7161" width="9.140625" style="77"/>
    <col min="7162" max="7162" width="31.28515625" style="77" customWidth="1"/>
    <col min="7163" max="7163" width="18" style="77" customWidth="1"/>
    <col min="7164" max="7164" width="14" style="77" customWidth="1"/>
    <col min="7165" max="7168" width="12.42578125" style="77" customWidth="1"/>
    <col min="7169" max="7169" width="4.85546875" style="77" customWidth="1"/>
    <col min="7170" max="7173" width="12.7109375" style="77" customWidth="1"/>
    <col min="7174" max="7417" width="9.140625" style="77"/>
    <col min="7418" max="7418" width="31.28515625" style="77" customWidth="1"/>
    <col min="7419" max="7419" width="18" style="77" customWidth="1"/>
    <col min="7420" max="7420" width="14" style="77" customWidth="1"/>
    <col min="7421" max="7424" width="12.42578125" style="77" customWidth="1"/>
    <col min="7425" max="7425" width="4.85546875" style="77" customWidth="1"/>
    <col min="7426" max="7429" width="12.7109375" style="77" customWidth="1"/>
    <col min="7430" max="7673" width="9.140625" style="77"/>
    <col min="7674" max="7674" width="31.28515625" style="77" customWidth="1"/>
    <col min="7675" max="7675" width="18" style="77" customWidth="1"/>
    <col min="7676" max="7676" width="14" style="77" customWidth="1"/>
    <col min="7677" max="7680" width="12.42578125" style="77" customWidth="1"/>
    <col min="7681" max="7681" width="4.85546875" style="77" customWidth="1"/>
    <col min="7682" max="7685" width="12.7109375" style="77" customWidth="1"/>
    <col min="7686" max="7929" width="9.140625" style="77"/>
    <col min="7930" max="7930" width="31.28515625" style="77" customWidth="1"/>
    <col min="7931" max="7931" width="18" style="77" customWidth="1"/>
    <col min="7932" max="7932" width="14" style="77" customWidth="1"/>
    <col min="7933" max="7936" width="12.42578125" style="77" customWidth="1"/>
    <col min="7937" max="7937" width="4.85546875" style="77" customWidth="1"/>
    <col min="7938" max="7941" width="12.7109375" style="77" customWidth="1"/>
    <col min="7942" max="8185" width="9.140625" style="77"/>
    <col min="8186" max="8186" width="31.28515625" style="77" customWidth="1"/>
    <col min="8187" max="8187" width="18" style="77" customWidth="1"/>
    <col min="8188" max="8188" width="14" style="77" customWidth="1"/>
    <col min="8189" max="8192" width="12.42578125" style="77" customWidth="1"/>
    <col min="8193" max="8193" width="4.85546875" style="77" customWidth="1"/>
    <col min="8194" max="8197" width="12.7109375" style="77" customWidth="1"/>
    <col min="8198" max="8441" width="9.140625" style="77"/>
    <col min="8442" max="8442" width="31.28515625" style="77" customWidth="1"/>
    <col min="8443" max="8443" width="18" style="77" customWidth="1"/>
    <col min="8444" max="8444" width="14" style="77" customWidth="1"/>
    <col min="8445" max="8448" width="12.42578125" style="77" customWidth="1"/>
    <col min="8449" max="8449" width="4.85546875" style="77" customWidth="1"/>
    <col min="8450" max="8453" width="12.7109375" style="77" customWidth="1"/>
    <col min="8454" max="8697" width="9.140625" style="77"/>
    <col min="8698" max="8698" width="31.28515625" style="77" customWidth="1"/>
    <col min="8699" max="8699" width="18" style="77" customWidth="1"/>
    <col min="8700" max="8700" width="14" style="77" customWidth="1"/>
    <col min="8701" max="8704" width="12.42578125" style="77" customWidth="1"/>
    <col min="8705" max="8705" width="4.85546875" style="77" customWidth="1"/>
    <col min="8706" max="8709" width="12.7109375" style="77" customWidth="1"/>
    <col min="8710" max="8953" width="9.140625" style="77"/>
    <col min="8954" max="8954" width="31.28515625" style="77" customWidth="1"/>
    <col min="8955" max="8955" width="18" style="77" customWidth="1"/>
    <col min="8956" max="8956" width="14" style="77" customWidth="1"/>
    <col min="8957" max="8960" width="12.42578125" style="77" customWidth="1"/>
    <col min="8961" max="8961" width="4.85546875" style="77" customWidth="1"/>
    <col min="8962" max="8965" width="12.7109375" style="77" customWidth="1"/>
    <col min="8966" max="9209" width="9.140625" style="77"/>
    <col min="9210" max="9210" width="31.28515625" style="77" customWidth="1"/>
    <col min="9211" max="9211" width="18" style="77" customWidth="1"/>
    <col min="9212" max="9212" width="14" style="77" customWidth="1"/>
    <col min="9213" max="9216" width="12.42578125" style="77" customWidth="1"/>
    <col min="9217" max="9217" width="4.85546875" style="77" customWidth="1"/>
    <col min="9218" max="9221" width="12.7109375" style="77" customWidth="1"/>
    <col min="9222" max="9465" width="9.140625" style="77"/>
    <col min="9466" max="9466" width="31.28515625" style="77" customWidth="1"/>
    <col min="9467" max="9467" width="18" style="77" customWidth="1"/>
    <col min="9468" max="9468" width="14" style="77" customWidth="1"/>
    <col min="9469" max="9472" width="12.42578125" style="77" customWidth="1"/>
    <col min="9473" max="9473" width="4.85546875" style="77" customWidth="1"/>
    <col min="9474" max="9477" width="12.7109375" style="77" customWidth="1"/>
    <col min="9478" max="9721" width="9.140625" style="77"/>
    <col min="9722" max="9722" width="31.28515625" style="77" customWidth="1"/>
    <col min="9723" max="9723" width="18" style="77" customWidth="1"/>
    <col min="9724" max="9724" width="14" style="77" customWidth="1"/>
    <col min="9725" max="9728" width="12.42578125" style="77" customWidth="1"/>
    <col min="9729" max="9729" width="4.85546875" style="77" customWidth="1"/>
    <col min="9730" max="9733" width="12.7109375" style="77" customWidth="1"/>
    <col min="9734" max="9977" width="9.140625" style="77"/>
    <col min="9978" max="9978" width="31.28515625" style="77" customWidth="1"/>
    <col min="9979" max="9979" width="18" style="77" customWidth="1"/>
    <col min="9980" max="9980" width="14" style="77" customWidth="1"/>
    <col min="9981" max="9984" width="12.42578125" style="77" customWidth="1"/>
    <col min="9985" max="9985" width="4.85546875" style="77" customWidth="1"/>
    <col min="9986" max="9989" width="12.7109375" style="77" customWidth="1"/>
    <col min="9990" max="10233" width="9.140625" style="77"/>
    <col min="10234" max="10234" width="31.28515625" style="77" customWidth="1"/>
    <col min="10235" max="10235" width="18" style="77" customWidth="1"/>
    <col min="10236" max="10236" width="14" style="77" customWidth="1"/>
    <col min="10237" max="10240" width="12.42578125" style="77" customWidth="1"/>
    <col min="10241" max="10241" width="4.85546875" style="77" customWidth="1"/>
    <col min="10242" max="10245" width="12.7109375" style="77" customWidth="1"/>
    <col min="10246" max="10489" width="9.140625" style="77"/>
    <col min="10490" max="10490" width="31.28515625" style="77" customWidth="1"/>
    <col min="10491" max="10491" width="18" style="77" customWidth="1"/>
    <col min="10492" max="10492" width="14" style="77" customWidth="1"/>
    <col min="10493" max="10496" width="12.42578125" style="77" customWidth="1"/>
    <col min="10497" max="10497" width="4.85546875" style="77" customWidth="1"/>
    <col min="10498" max="10501" width="12.7109375" style="77" customWidth="1"/>
    <col min="10502" max="10745" width="9.140625" style="77"/>
    <col min="10746" max="10746" width="31.28515625" style="77" customWidth="1"/>
    <col min="10747" max="10747" width="18" style="77" customWidth="1"/>
    <col min="10748" max="10748" width="14" style="77" customWidth="1"/>
    <col min="10749" max="10752" width="12.42578125" style="77" customWidth="1"/>
    <col min="10753" max="10753" width="4.85546875" style="77" customWidth="1"/>
    <col min="10754" max="10757" width="12.7109375" style="77" customWidth="1"/>
    <col min="10758" max="11001" width="9.140625" style="77"/>
    <col min="11002" max="11002" width="31.28515625" style="77" customWidth="1"/>
    <col min="11003" max="11003" width="18" style="77" customWidth="1"/>
    <col min="11004" max="11004" width="14" style="77" customWidth="1"/>
    <col min="11005" max="11008" width="12.42578125" style="77" customWidth="1"/>
    <col min="11009" max="11009" width="4.85546875" style="77" customWidth="1"/>
    <col min="11010" max="11013" width="12.7109375" style="77" customWidth="1"/>
    <col min="11014" max="11257" width="9.140625" style="77"/>
    <col min="11258" max="11258" width="31.28515625" style="77" customWidth="1"/>
    <col min="11259" max="11259" width="18" style="77" customWidth="1"/>
    <col min="11260" max="11260" width="14" style="77" customWidth="1"/>
    <col min="11261" max="11264" width="12.42578125" style="77" customWidth="1"/>
    <col min="11265" max="11265" width="4.85546875" style="77" customWidth="1"/>
    <col min="11266" max="11269" width="12.7109375" style="77" customWidth="1"/>
    <col min="11270" max="11513" width="9.140625" style="77"/>
    <col min="11514" max="11514" width="31.28515625" style="77" customWidth="1"/>
    <col min="11515" max="11515" width="18" style="77" customWidth="1"/>
    <col min="11516" max="11516" width="14" style="77" customWidth="1"/>
    <col min="11517" max="11520" width="12.42578125" style="77" customWidth="1"/>
    <col min="11521" max="11521" width="4.85546875" style="77" customWidth="1"/>
    <col min="11522" max="11525" width="12.7109375" style="77" customWidth="1"/>
    <col min="11526" max="11769" width="9.140625" style="77"/>
    <col min="11770" max="11770" width="31.28515625" style="77" customWidth="1"/>
    <col min="11771" max="11771" width="18" style="77" customWidth="1"/>
    <col min="11772" max="11772" width="14" style="77" customWidth="1"/>
    <col min="11773" max="11776" width="12.42578125" style="77" customWidth="1"/>
    <col min="11777" max="11777" width="4.85546875" style="77" customWidth="1"/>
    <col min="11778" max="11781" width="12.7109375" style="77" customWidth="1"/>
    <col min="11782" max="12025" width="9.140625" style="77"/>
    <col min="12026" max="12026" width="31.28515625" style="77" customWidth="1"/>
    <col min="12027" max="12027" width="18" style="77" customWidth="1"/>
    <col min="12028" max="12028" width="14" style="77" customWidth="1"/>
    <col min="12029" max="12032" width="12.42578125" style="77" customWidth="1"/>
    <col min="12033" max="12033" width="4.85546875" style="77" customWidth="1"/>
    <col min="12034" max="12037" width="12.7109375" style="77" customWidth="1"/>
    <col min="12038" max="12281" width="9.140625" style="77"/>
    <col min="12282" max="12282" width="31.28515625" style="77" customWidth="1"/>
    <col min="12283" max="12283" width="18" style="77" customWidth="1"/>
    <col min="12284" max="12284" width="14" style="77" customWidth="1"/>
    <col min="12285" max="12288" width="12.42578125" style="77" customWidth="1"/>
    <col min="12289" max="12289" width="4.85546875" style="77" customWidth="1"/>
    <col min="12290" max="12293" width="12.7109375" style="77" customWidth="1"/>
    <col min="12294" max="12537" width="9.140625" style="77"/>
    <col min="12538" max="12538" width="31.28515625" style="77" customWidth="1"/>
    <col min="12539" max="12539" width="18" style="77" customWidth="1"/>
    <col min="12540" max="12540" width="14" style="77" customWidth="1"/>
    <col min="12541" max="12544" width="12.42578125" style="77" customWidth="1"/>
    <col min="12545" max="12545" width="4.85546875" style="77" customWidth="1"/>
    <col min="12546" max="12549" width="12.7109375" style="77" customWidth="1"/>
    <col min="12550" max="12793" width="9.140625" style="77"/>
    <col min="12794" max="12794" width="31.28515625" style="77" customWidth="1"/>
    <col min="12795" max="12795" width="18" style="77" customWidth="1"/>
    <col min="12796" max="12796" width="14" style="77" customWidth="1"/>
    <col min="12797" max="12800" width="12.42578125" style="77" customWidth="1"/>
    <col min="12801" max="12801" width="4.85546875" style="77" customWidth="1"/>
    <col min="12802" max="12805" width="12.7109375" style="77" customWidth="1"/>
    <col min="12806" max="13049" width="9.140625" style="77"/>
    <col min="13050" max="13050" width="31.28515625" style="77" customWidth="1"/>
    <col min="13051" max="13051" width="18" style="77" customWidth="1"/>
    <col min="13052" max="13052" width="14" style="77" customWidth="1"/>
    <col min="13053" max="13056" width="12.42578125" style="77" customWidth="1"/>
    <col min="13057" max="13057" width="4.85546875" style="77" customWidth="1"/>
    <col min="13058" max="13061" width="12.7109375" style="77" customWidth="1"/>
    <col min="13062" max="13305" width="9.140625" style="77"/>
    <col min="13306" max="13306" width="31.28515625" style="77" customWidth="1"/>
    <col min="13307" max="13307" width="18" style="77" customWidth="1"/>
    <col min="13308" max="13308" width="14" style="77" customWidth="1"/>
    <col min="13309" max="13312" width="12.42578125" style="77" customWidth="1"/>
    <col min="13313" max="13313" width="4.85546875" style="77" customWidth="1"/>
    <col min="13314" max="13317" width="12.7109375" style="77" customWidth="1"/>
    <col min="13318" max="13561" width="9.140625" style="77"/>
    <col min="13562" max="13562" width="31.28515625" style="77" customWidth="1"/>
    <col min="13563" max="13563" width="18" style="77" customWidth="1"/>
    <col min="13564" max="13564" width="14" style="77" customWidth="1"/>
    <col min="13565" max="13568" width="12.42578125" style="77" customWidth="1"/>
    <col min="13569" max="13569" width="4.85546875" style="77" customWidth="1"/>
    <col min="13570" max="13573" width="12.7109375" style="77" customWidth="1"/>
    <col min="13574" max="13817" width="9.140625" style="77"/>
    <col min="13818" max="13818" width="31.28515625" style="77" customWidth="1"/>
    <col min="13819" max="13819" width="18" style="77" customWidth="1"/>
    <col min="13820" max="13820" width="14" style="77" customWidth="1"/>
    <col min="13821" max="13824" width="12.42578125" style="77" customWidth="1"/>
    <col min="13825" max="13825" width="4.85546875" style="77" customWidth="1"/>
    <col min="13826" max="13829" width="12.7109375" style="77" customWidth="1"/>
    <col min="13830" max="14073" width="9.140625" style="77"/>
    <col min="14074" max="14074" width="31.28515625" style="77" customWidth="1"/>
    <col min="14075" max="14075" width="18" style="77" customWidth="1"/>
    <col min="14076" max="14076" width="14" style="77" customWidth="1"/>
    <col min="14077" max="14080" width="12.42578125" style="77" customWidth="1"/>
    <col min="14081" max="14081" width="4.85546875" style="77" customWidth="1"/>
    <col min="14082" max="14085" width="12.7109375" style="77" customWidth="1"/>
    <col min="14086" max="14329" width="9.140625" style="77"/>
    <col min="14330" max="14330" width="31.28515625" style="77" customWidth="1"/>
    <col min="14331" max="14331" width="18" style="77" customWidth="1"/>
    <col min="14332" max="14332" width="14" style="77" customWidth="1"/>
    <col min="14333" max="14336" width="12.42578125" style="77" customWidth="1"/>
    <col min="14337" max="14337" width="4.85546875" style="77" customWidth="1"/>
    <col min="14338" max="14341" width="12.7109375" style="77" customWidth="1"/>
    <col min="14342" max="14585" width="9.140625" style="77"/>
    <col min="14586" max="14586" width="31.28515625" style="77" customWidth="1"/>
    <col min="14587" max="14587" width="18" style="77" customWidth="1"/>
    <col min="14588" max="14588" width="14" style="77" customWidth="1"/>
    <col min="14589" max="14592" width="12.42578125" style="77" customWidth="1"/>
    <col min="14593" max="14593" width="4.85546875" style="77" customWidth="1"/>
    <col min="14594" max="14597" width="12.7109375" style="77" customWidth="1"/>
    <col min="14598" max="14841" width="9.140625" style="77"/>
    <col min="14842" max="14842" width="31.28515625" style="77" customWidth="1"/>
    <col min="14843" max="14843" width="18" style="77" customWidth="1"/>
    <col min="14844" max="14844" width="14" style="77" customWidth="1"/>
    <col min="14845" max="14848" width="12.42578125" style="77" customWidth="1"/>
    <col min="14849" max="14849" width="4.85546875" style="77" customWidth="1"/>
    <col min="14850" max="14853" width="12.7109375" style="77" customWidth="1"/>
    <col min="14854" max="15097" width="9.140625" style="77"/>
    <col min="15098" max="15098" width="31.28515625" style="77" customWidth="1"/>
    <col min="15099" max="15099" width="18" style="77" customWidth="1"/>
    <col min="15100" max="15100" width="14" style="77" customWidth="1"/>
    <col min="15101" max="15104" width="12.42578125" style="77" customWidth="1"/>
    <col min="15105" max="15105" width="4.85546875" style="77" customWidth="1"/>
    <col min="15106" max="15109" width="12.7109375" style="77" customWidth="1"/>
    <col min="15110" max="15353" width="9.140625" style="77"/>
    <col min="15354" max="15354" width="31.28515625" style="77" customWidth="1"/>
    <col min="15355" max="15355" width="18" style="77" customWidth="1"/>
    <col min="15356" max="15356" width="14" style="77" customWidth="1"/>
    <col min="15357" max="15360" width="12.42578125" style="77" customWidth="1"/>
    <col min="15361" max="15361" width="4.85546875" style="77" customWidth="1"/>
    <col min="15362" max="15365" width="12.7109375" style="77" customWidth="1"/>
    <col min="15366" max="15609" width="9.140625" style="77"/>
    <col min="15610" max="15610" width="31.28515625" style="77" customWidth="1"/>
    <col min="15611" max="15611" width="18" style="77" customWidth="1"/>
    <col min="15612" max="15612" width="14" style="77" customWidth="1"/>
    <col min="15613" max="15616" width="12.42578125" style="77" customWidth="1"/>
    <col min="15617" max="15617" width="4.85546875" style="77" customWidth="1"/>
    <col min="15618" max="15621" width="12.7109375" style="77" customWidth="1"/>
    <col min="15622" max="15865" width="9.140625" style="77"/>
    <col min="15866" max="15866" width="31.28515625" style="77" customWidth="1"/>
    <col min="15867" max="15867" width="18" style="77" customWidth="1"/>
    <col min="15868" max="15868" width="14" style="77" customWidth="1"/>
    <col min="15869" max="15872" width="12.42578125" style="77" customWidth="1"/>
    <col min="15873" max="15873" width="4.85546875" style="77" customWidth="1"/>
    <col min="15874" max="15877" width="12.7109375" style="77" customWidth="1"/>
    <col min="15878" max="16121" width="9.140625" style="77"/>
    <col min="16122" max="16122" width="31.28515625" style="77" customWidth="1"/>
    <col min="16123" max="16123" width="18" style="77" customWidth="1"/>
    <col min="16124" max="16124" width="14" style="77" customWidth="1"/>
    <col min="16125" max="16128" width="12.42578125" style="77" customWidth="1"/>
    <col min="16129" max="16129" width="4.85546875" style="77" customWidth="1"/>
    <col min="16130" max="16133" width="12.7109375" style="77" customWidth="1"/>
    <col min="16134" max="16384" width="9.140625" style="77"/>
  </cols>
  <sheetData>
    <row r="1" spans="1:10" s="76" customFormat="1" ht="18" customHeight="1" x14ac:dyDescent="0.2">
      <c r="A1" s="434" t="s">
        <v>141</v>
      </c>
      <c r="B1" s="434"/>
      <c r="C1" s="434"/>
      <c r="D1" s="434"/>
      <c r="E1" s="434"/>
      <c r="F1" s="434"/>
      <c r="G1" s="434"/>
      <c r="H1" s="434"/>
      <c r="I1" s="434"/>
      <c r="J1" s="434"/>
    </row>
    <row r="2" spans="1:10" ht="18" customHeight="1" x14ac:dyDescent="0.2">
      <c r="A2" s="433" t="str">
        <f>'VALOR DO POSTO'!A2:R2</f>
        <v>Planilha de Custos e Formação de Preços - ESTIMATIVA TRE-PR</v>
      </c>
      <c r="B2" s="433"/>
      <c r="C2" s="433"/>
      <c r="D2" s="433"/>
      <c r="E2" s="433"/>
      <c r="F2" s="433"/>
      <c r="G2" s="433"/>
      <c r="H2" s="433"/>
      <c r="I2" s="433"/>
      <c r="J2" s="433"/>
    </row>
    <row r="3" spans="1:10" ht="15" customHeight="1" x14ac:dyDescent="0.2">
      <c r="A3" s="446" t="str">
        <f>+'VALOR DO POSTO'!A3:R3</f>
        <v>Posto de Trabalho - Serviços de Portaria</v>
      </c>
      <c r="B3" s="446"/>
      <c r="C3" s="446"/>
      <c r="D3" s="446"/>
      <c r="E3" s="446"/>
      <c r="F3" s="446"/>
      <c r="G3" s="446"/>
      <c r="H3" s="446"/>
      <c r="I3" s="446"/>
      <c r="J3" s="446"/>
    </row>
    <row r="4" spans="1:10" ht="15" customHeight="1" x14ac:dyDescent="0.2">
      <c r="A4" s="65"/>
      <c r="B4" s="66"/>
      <c r="C4" s="66"/>
      <c r="D4" s="106"/>
      <c r="E4" s="133"/>
      <c r="F4" s="226"/>
      <c r="G4" s="226"/>
      <c r="H4" s="226"/>
      <c r="I4" s="226"/>
      <c r="J4" s="226"/>
    </row>
    <row r="5" spans="1:10" ht="15" customHeight="1" x14ac:dyDescent="0.2">
      <c r="A5" s="437" t="str">
        <f>'VALOR DO POSTO'!A8:R8</f>
        <v>Nome empresarial</v>
      </c>
      <c r="B5" s="438"/>
      <c r="C5" s="438"/>
      <c r="D5" s="438"/>
      <c r="E5" s="438"/>
      <c r="F5" s="438"/>
      <c r="G5" s="438"/>
      <c r="H5" s="438"/>
      <c r="I5" s="438"/>
      <c r="J5" s="439"/>
    </row>
    <row r="6" spans="1:10" ht="15" customHeight="1" x14ac:dyDescent="0.2">
      <c r="A6" s="440" t="str">
        <f>'VALOR DO POSTO'!A9:R9</f>
        <v>CNPJ</v>
      </c>
      <c r="B6" s="441"/>
      <c r="C6" s="441"/>
      <c r="D6" s="441"/>
      <c r="E6" s="441"/>
      <c r="F6" s="441"/>
      <c r="G6" s="441"/>
      <c r="H6" s="441"/>
      <c r="I6" s="441"/>
      <c r="J6" s="442"/>
    </row>
    <row r="7" spans="1:10" ht="15" customHeight="1" thickBot="1" x14ac:dyDescent="0.25">
      <c r="A7" s="14"/>
      <c r="B7" s="14"/>
      <c r="C7" s="14"/>
      <c r="D7" s="14"/>
      <c r="E7" s="14"/>
      <c r="F7" s="226"/>
      <c r="G7" s="226"/>
      <c r="H7" s="226"/>
      <c r="I7" s="226"/>
      <c r="J7" s="226"/>
    </row>
    <row r="8" spans="1:10" ht="30" customHeight="1" thickBot="1" x14ac:dyDescent="0.25">
      <c r="A8" s="443" t="s">
        <v>142</v>
      </c>
      <c r="B8" s="444"/>
      <c r="C8" s="444"/>
      <c r="D8" s="444"/>
      <c r="E8" s="444"/>
      <c r="F8" s="444"/>
      <c r="G8" s="444"/>
      <c r="H8" s="444"/>
      <c r="I8" s="444"/>
      <c r="J8" s="445"/>
    </row>
    <row r="9" spans="1:10" ht="30" customHeight="1" thickBot="1" x14ac:dyDescent="0.3">
      <c r="A9" s="213" t="s">
        <v>214</v>
      </c>
      <c r="B9" s="68"/>
      <c r="C9" s="68"/>
      <c r="D9" s="69"/>
      <c r="E9" s="69"/>
      <c r="F9" s="69"/>
      <c r="G9" s="436" t="s">
        <v>208</v>
      </c>
      <c r="H9" s="436"/>
      <c r="I9" s="436"/>
      <c r="J9" s="436"/>
    </row>
    <row r="10" spans="1:10" ht="30" customHeight="1" thickTop="1" x14ac:dyDescent="0.2">
      <c r="A10" s="86"/>
      <c r="B10" s="67" t="s">
        <v>145</v>
      </c>
      <c r="C10" s="67" t="s">
        <v>146</v>
      </c>
      <c r="D10" s="89" t="s">
        <v>143</v>
      </c>
      <c r="E10" s="70" t="s">
        <v>144</v>
      </c>
      <c r="F10" s="226"/>
      <c r="G10" s="117" t="s">
        <v>175</v>
      </c>
      <c r="H10" s="117" t="s">
        <v>176</v>
      </c>
      <c r="I10" s="117" t="s">
        <v>177</v>
      </c>
      <c r="J10" s="118" t="s">
        <v>178</v>
      </c>
    </row>
    <row r="11" spans="1:10" ht="51" x14ac:dyDescent="0.2">
      <c r="A11" s="87" t="s">
        <v>218</v>
      </c>
      <c r="B11" s="29">
        <v>2</v>
      </c>
      <c r="C11" s="71">
        <v>12</v>
      </c>
      <c r="D11" s="90">
        <f>J11</f>
        <v>282.97000000000003</v>
      </c>
      <c r="E11" s="72">
        <f>(B11*D11)/C11</f>
        <v>47.161666666666669</v>
      </c>
      <c r="F11" s="226"/>
      <c r="G11" s="119">
        <v>240</v>
      </c>
      <c r="H11" s="119">
        <v>249.9</v>
      </c>
      <c r="I11" s="119">
        <v>359</v>
      </c>
      <c r="J11" s="204">
        <f>ROUND((IF(AND(G11="",H11="",I11="")=TRUE,0,AVERAGE(G11:I11))),2)</f>
        <v>282.97000000000003</v>
      </c>
    </row>
    <row r="12" spans="1:10" ht="38.25" x14ac:dyDescent="0.2">
      <c r="A12" s="88" t="s">
        <v>219</v>
      </c>
      <c r="B12" s="73">
        <v>3</v>
      </c>
      <c r="C12" s="74">
        <v>12</v>
      </c>
      <c r="D12" s="90">
        <f t="shared" ref="D12:D22" si="0">J12</f>
        <v>63.53</v>
      </c>
      <c r="E12" s="195">
        <f t="shared" ref="E12:E22" si="1">(B12*D12)/C12</f>
        <v>15.8825</v>
      </c>
      <c r="F12" s="226"/>
      <c r="G12" s="120">
        <v>71.7</v>
      </c>
      <c r="H12" s="120">
        <v>54</v>
      </c>
      <c r="I12" s="120">
        <v>64.900000000000006</v>
      </c>
      <c r="J12" s="205">
        <f t="shared" ref="J12:J19" si="2">ROUND((IF(AND(G12="",H12="",I12="")=TRUE,0,AVERAGE(G12:I12))),2)</f>
        <v>63.53</v>
      </c>
    </row>
    <row r="13" spans="1:10" ht="51" x14ac:dyDescent="0.2">
      <c r="A13" s="87" t="s">
        <v>220</v>
      </c>
      <c r="B13" s="29">
        <v>3</v>
      </c>
      <c r="C13" s="71">
        <v>12</v>
      </c>
      <c r="D13" s="90">
        <f t="shared" si="0"/>
        <v>63</v>
      </c>
      <c r="E13" s="72">
        <f t="shared" si="1"/>
        <v>15.75</v>
      </c>
      <c r="F13" s="226"/>
      <c r="G13" s="119">
        <v>64</v>
      </c>
      <c r="H13" s="119">
        <v>65</v>
      </c>
      <c r="I13" s="119">
        <v>59.99</v>
      </c>
      <c r="J13" s="204">
        <f t="shared" si="2"/>
        <v>63</v>
      </c>
    </row>
    <row r="14" spans="1:10" ht="25.5" x14ac:dyDescent="0.2">
      <c r="A14" s="88" t="s">
        <v>221</v>
      </c>
      <c r="B14" s="73">
        <v>2</v>
      </c>
      <c r="C14" s="74">
        <v>12</v>
      </c>
      <c r="D14" s="90">
        <f t="shared" si="0"/>
        <v>27.51</v>
      </c>
      <c r="E14" s="195">
        <f t="shared" si="1"/>
        <v>4.585</v>
      </c>
      <c r="F14" s="226"/>
      <c r="G14" s="120">
        <v>25.2</v>
      </c>
      <c r="H14" s="120">
        <v>27.44</v>
      </c>
      <c r="I14" s="120">
        <v>29.89</v>
      </c>
      <c r="J14" s="205">
        <f t="shared" si="2"/>
        <v>27.51</v>
      </c>
    </row>
    <row r="15" spans="1:10" ht="51" x14ac:dyDescent="0.2">
      <c r="A15" s="87" t="s">
        <v>222</v>
      </c>
      <c r="B15" s="29">
        <v>1</v>
      </c>
      <c r="C15" s="71">
        <v>12</v>
      </c>
      <c r="D15" s="90">
        <f t="shared" si="0"/>
        <v>95.39</v>
      </c>
      <c r="E15" s="72">
        <f t="shared" si="1"/>
        <v>7.9491666666666667</v>
      </c>
      <c r="F15" s="226"/>
      <c r="G15" s="119">
        <v>80.040000000000006</v>
      </c>
      <c r="H15" s="119">
        <v>105.88</v>
      </c>
      <c r="I15" s="119">
        <v>100.25</v>
      </c>
      <c r="J15" s="204">
        <f t="shared" si="2"/>
        <v>95.39</v>
      </c>
    </row>
    <row r="16" spans="1:10" ht="38.25" x14ac:dyDescent="0.2">
      <c r="A16" s="88" t="s">
        <v>223</v>
      </c>
      <c r="B16" s="73">
        <v>2</v>
      </c>
      <c r="C16" s="74">
        <v>12</v>
      </c>
      <c r="D16" s="90">
        <f t="shared" si="0"/>
        <v>68.3</v>
      </c>
      <c r="E16" s="195">
        <f t="shared" si="1"/>
        <v>11.383333333333333</v>
      </c>
      <c r="F16" s="226"/>
      <c r="G16" s="120">
        <v>62</v>
      </c>
      <c r="H16" s="120">
        <v>78</v>
      </c>
      <c r="I16" s="120">
        <v>64.900000000000006</v>
      </c>
      <c r="J16" s="205">
        <f t="shared" si="2"/>
        <v>68.3</v>
      </c>
    </row>
    <row r="17" spans="1:10" ht="63.75" x14ac:dyDescent="0.2">
      <c r="A17" s="87" t="s">
        <v>224</v>
      </c>
      <c r="B17" s="29">
        <v>2</v>
      </c>
      <c r="C17" s="71">
        <v>12</v>
      </c>
      <c r="D17" s="90">
        <f t="shared" si="0"/>
        <v>68.56</v>
      </c>
      <c r="E17" s="72">
        <f t="shared" si="1"/>
        <v>11.426666666666668</v>
      </c>
      <c r="F17" s="226"/>
      <c r="G17" s="119">
        <v>75.7</v>
      </c>
      <c r="H17" s="119">
        <v>69.989999999999995</v>
      </c>
      <c r="I17" s="119">
        <v>60</v>
      </c>
      <c r="J17" s="204">
        <f t="shared" si="2"/>
        <v>68.56</v>
      </c>
    </row>
    <row r="18" spans="1:10" ht="38.25" x14ac:dyDescent="0.2">
      <c r="A18" s="88" t="s">
        <v>225</v>
      </c>
      <c r="B18" s="73">
        <v>4</v>
      </c>
      <c r="C18" s="74">
        <v>12</v>
      </c>
      <c r="D18" s="90">
        <f t="shared" si="0"/>
        <v>6.42</v>
      </c>
      <c r="E18" s="195">
        <f t="shared" si="1"/>
        <v>2.14</v>
      </c>
      <c r="F18" s="226"/>
      <c r="G18" s="120">
        <v>5.25</v>
      </c>
      <c r="H18" s="120">
        <v>7</v>
      </c>
      <c r="I18" s="120">
        <v>7</v>
      </c>
      <c r="J18" s="205">
        <f t="shared" si="2"/>
        <v>6.42</v>
      </c>
    </row>
    <row r="19" spans="1:10" s="126" customFormat="1" ht="15" customHeight="1" x14ac:dyDescent="0.2">
      <c r="A19" s="87" t="s">
        <v>147</v>
      </c>
      <c r="B19" s="29">
        <v>1</v>
      </c>
      <c r="C19" s="71">
        <v>12</v>
      </c>
      <c r="D19" s="90">
        <f t="shared" si="0"/>
        <v>1.65</v>
      </c>
      <c r="E19" s="72">
        <f t="shared" si="1"/>
        <v>0.13749999999999998</v>
      </c>
      <c r="F19" s="226"/>
      <c r="G19" s="119">
        <v>1.89</v>
      </c>
      <c r="H19" s="206">
        <v>1.48</v>
      </c>
      <c r="I19" s="206">
        <v>1.57</v>
      </c>
      <c r="J19" s="207">
        <f t="shared" si="2"/>
        <v>1.65</v>
      </c>
    </row>
    <row r="20" spans="1:10" ht="15" customHeight="1" x14ac:dyDescent="0.2">
      <c r="A20" s="196"/>
      <c r="B20" s="197">
        <v>0</v>
      </c>
      <c r="C20" s="74">
        <v>12</v>
      </c>
      <c r="D20" s="90">
        <f t="shared" si="0"/>
        <v>0</v>
      </c>
      <c r="E20" s="195">
        <f t="shared" si="1"/>
        <v>0</v>
      </c>
      <c r="F20" s="226"/>
      <c r="G20" s="210"/>
      <c r="H20" s="210"/>
      <c r="I20" s="210"/>
      <c r="J20" s="211"/>
    </row>
    <row r="21" spans="1:10" ht="15" customHeight="1" x14ac:dyDescent="0.2">
      <c r="A21" s="196"/>
      <c r="B21" s="197">
        <v>0</v>
      </c>
      <c r="C21" s="71">
        <v>12</v>
      </c>
      <c r="D21" s="90">
        <f t="shared" si="0"/>
        <v>0</v>
      </c>
      <c r="E21" s="72">
        <f t="shared" si="1"/>
        <v>0</v>
      </c>
      <c r="F21" s="226"/>
      <c r="G21" s="208"/>
      <c r="H21" s="208"/>
      <c r="I21" s="208"/>
      <c r="J21" s="209"/>
    </row>
    <row r="22" spans="1:10" ht="15" customHeight="1" x14ac:dyDescent="0.2">
      <c r="A22" s="196"/>
      <c r="B22" s="197">
        <v>0</v>
      </c>
      <c r="C22" s="74">
        <v>12</v>
      </c>
      <c r="D22" s="90">
        <f t="shared" si="0"/>
        <v>0</v>
      </c>
      <c r="E22" s="195">
        <f t="shared" si="1"/>
        <v>0</v>
      </c>
      <c r="F22" s="226"/>
      <c r="G22" s="208"/>
      <c r="H22" s="208"/>
      <c r="I22" s="208"/>
      <c r="J22" s="209"/>
    </row>
    <row r="23" spans="1:10" ht="15" customHeight="1" thickBot="1" x14ac:dyDescent="0.25">
      <c r="A23" s="78"/>
      <c r="B23" s="78"/>
      <c r="C23" s="78"/>
      <c r="D23" s="79"/>
      <c r="E23" s="79"/>
      <c r="F23" s="226"/>
      <c r="G23" s="226"/>
      <c r="H23" s="226"/>
      <c r="I23" s="226"/>
      <c r="J23" s="226"/>
    </row>
    <row r="24" spans="1:10" ht="15" customHeight="1" thickBot="1" x14ac:dyDescent="0.25">
      <c r="A24" s="435"/>
      <c r="B24" s="435"/>
      <c r="C24" s="78"/>
      <c r="D24" s="194"/>
      <c r="E24" s="91">
        <f>SUM(E11:E22)</f>
        <v>116.41583333333334</v>
      </c>
      <c r="F24" s="226"/>
      <c r="G24" s="226"/>
      <c r="H24" s="226"/>
      <c r="I24" s="226"/>
      <c r="J24" s="226"/>
    </row>
    <row r="25" spans="1:10" ht="15" customHeight="1" x14ac:dyDescent="0.2">
      <c r="A25" s="130"/>
      <c r="B25" s="130"/>
      <c r="C25" s="78"/>
      <c r="D25" s="220"/>
      <c r="E25" s="221"/>
      <c r="F25" s="226"/>
      <c r="G25" s="226"/>
      <c r="H25" s="226"/>
      <c r="I25" s="226"/>
      <c r="J25" s="226"/>
    </row>
    <row r="26" spans="1:10" ht="30" customHeight="1" x14ac:dyDescent="0.2">
      <c r="A26" s="225"/>
      <c r="B26" s="222"/>
      <c r="C26" s="222"/>
      <c r="D26" s="223"/>
      <c r="E26" s="67" t="s">
        <v>143</v>
      </c>
      <c r="F26" s="226"/>
      <c r="G26" s="117" t="s">
        <v>175</v>
      </c>
      <c r="H26" s="117" t="s">
        <v>176</v>
      </c>
      <c r="I26" s="117" t="s">
        <v>177</v>
      </c>
      <c r="J26" s="117" t="s">
        <v>178</v>
      </c>
    </row>
    <row r="27" spans="1:10" ht="15" customHeight="1" x14ac:dyDescent="0.2">
      <c r="A27" s="430" t="s">
        <v>217</v>
      </c>
      <c r="B27" s="431"/>
      <c r="C27" s="431"/>
      <c r="D27" s="432"/>
      <c r="E27" s="224">
        <f>J27</f>
        <v>46.63</v>
      </c>
      <c r="F27" s="226"/>
      <c r="G27" s="119">
        <v>50</v>
      </c>
      <c r="H27" s="119">
        <v>50</v>
      </c>
      <c r="I27" s="119">
        <v>39.9</v>
      </c>
      <c r="J27" s="204">
        <f t="shared" ref="J27" si="3">ROUND((IF(AND(G27="",H27="",I27="")=TRUE,0,AVERAGE(G27:I27))),2)</f>
        <v>46.63</v>
      </c>
    </row>
    <row r="28" spans="1:10" ht="30" customHeight="1" thickBot="1" x14ac:dyDescent="0.3">
      <c r="A28" s="215" t="s">
        <v>215</v>
      </c>
      <c r="B28" s="216"/>
      <c r="C28" s="216"/>
      <c r="D28" s="217"/>
      <c r="E28" s="217"/>
      <c r="F28" s="226"/>
      <c r="G28" s="226"/>
      <c r="H28" s="226"/>
      <c r="I28" s="226"/>
      <c r="J28" s="226"/>
    </row>
    <row r="29" spans="1:10" ht="24.75" thickTop="1" x14ac:dyDescent="0.2">
      <c r="A29" s="214"/>
      <c r="B29" s="89" t="s">
        <v>145</v>
      </c>
      <c r="C29" s="89" t="s">
        <v>146</v>
      </c>
      <c r="D29" s="89" t="s">
        <v>143</v>
      </c>
      <c r="E29" s="89" t="s">
        <v>144</v>
      </c>
      <c r="F29" s="226"/>
      <c r="G29" s="226"/>
      <c r="H29" s="226"/>
      <c r="I29" s="226"/>
      <c r="J29" s="226"/>
    </row>
    <row r="30" spans="1:10" ht="51" x14ac:dyDescent="0.2">
      <c r="A30" s="87" t="s">
        <v>218</v>
      </c>
      <c r="B30" s="29">
        <v>2</v>
      </c>
      <c r="C30" s="218">
        <f>2+(16/30)</f>
        <v>2.5333333333333332</v>
      </c>
      <c r="D30" s="72">
        <f>D11</f>
        <v>282.97000000000003</v>
      </c>
      <c r="E30" s="72">
        <f>(B30*D30)/C30</f>
        <v>223.39736842105268</v>
      </c>
      <c r="F30" s="226"/>
      <c r="G30" s="226"/>
      <c r="H30" s="226"/>
      <c r="I30" s="226"/>
      <c r="J30" s="226"/>
    </row>
    <row r="31" spans="1:10" ht="38.25" x14ac:dyDescent="0.2">
      <c r="A31" s="88" t="s">
        <v>219</v>
      </c>
      <c r="B31" s="73">
        <v>3</v>
      </c>
      <c r="C31" s="219">
        <f t="shared" ref="C31:C41" si="4">2+(16/30)</f>
        <v>2.5333333333333332</v>
      </c>
      <c r="D31" s="195">
        <f t="shared" ref="D31:D38" si="5">D12</f>
        <v>63.53</v>
      </c>
      <c r="E31" s="195">
        <f t="shared" ref="E31:E41" si="6">(B31*D31)/C31</f>
        <v>75.232894736842113</v>
      </c>
      <c r="F31" s="226"/>
      <c r="G31" s="226"/>
      <c r="H31" s="226"/>
      <c r="I31" s="226"/>
      <c r="J31" s="226"/>
    </row>
    <row r="32" spans="1:10" ht="51" x14ac:dyDescent="0.2">
      <c r="A32" s="87" t="s">
        <v>220</v>
      </c>
      <c r="B32" s="29">
        <v>3</v>
      </c>
      <c r="C32" s="218">
        <f t="shared" si="4"/>
        <v>2.5333333333333332</v>
      </c>
      <c r="D32" s="72">
        <f t="shared" si="5"/>
        <v>63</v>
      </c>
      <c r="E32" s="72">
        <f t="shared" si="6"/>
        <v>74.60526315789474</v>
      </c>
      <c r="F32" s="226"/>
      <c r="G32" s="226"/>
      <c r="H32" s="226"/>
      <c r="I32" s="226"/>
      <c r="J32" s="226"/>
    </row>
    <row r="33" spans="1:10" ht="25.5" x14ac:dyDescent="0.2">
      <c r="A33" s="88" t="s">
        <v>221</v>
      </c>
      <c r="B33" s="73">
        <v>2</v>
      </c>
      <c r="C33" s="219">
        <f t="shared" si="4"/>
        <v>2.5333333333333332</v>
      </c>
      <c r="D33" s="195">
        <f t="shared" si="5"/>
        <v>27.51</v>
      </c>
      <c r="E33" s="195">
        <f t="shared" si="6"/>
        <v>21.71842105263158</v>
      </c>
      <c r="F33" s="226"/>
      <c r="G33" s="226"/>
      <c r="H33" s="226"/>
      <c r="I33" s="226"/>
      <c r="J33" s="226"/>
    </row>
    <row r="34" spans="1:10" ht="51" x14ac:dyDescent="0.2">
      <c r="A34" s="87" t="s">
        <v>222</v>
      </c>
      <c r="B34" s="29">
        <v>1</v>
      </c>
      <c r="C34" s="218">
        <f t="shared" si="4"/>
        <v>2.5333333333333332</v>
      </c>
      <c r="D34" s="72">
        <f t="shared" si="5"/>
        <v>95.39</v>
      </c>
      <c r="E34" s="72">
        <f t="shared" si="6"/>
        <v>37.653947368421058</v>
      </c>
      <c r="F34" s="226"/>
      <c r="G34" s="226"/>
      <c r="H34" s="226"/>
      <c r="I34" s="226"/>
      <c r="J34" s="226"/>
    </row>
    <row r="35" spans="1:10" ht="38.25" x14ac:dyDescent="0.2">
      <c r="A35" s="88" t="s">
        <v>223</v>
      </c>
      <c r="B35" s="73">
        <v>2</v>
      </c>
      <c r="C35" s="219">
        <f t="shared" si="4"/>
        <v>2.5333333333333332</v>
      </c>
      <c r="D35" s="195">
        <f t="shared" si="5"/>
        <v>68.3</v>
      </c>
      <c r="E35" s="195">
        <f t="shared" si="6"/>
        <v>53.921052631578945</v>
      </c>
      <c r="F35" s="226"/>
      <c r="G35" s="226"/>
      <c r="H35" s="226"/>
      <c r="I35" s="226"/>
      <c r="J35" s="226"/>
    </row>
    <row r="36" spans="1:10" ht="63.75" x14ac:dyDescent="0.2">
      <c r="A36" s="87" t="s">
        <v>224</v>
      </c>
      <c r="B36" s="29">
        <v>2</v>
      </c>
      <c r="C36" s="218">
        <f t="shared" si="4"/>
        <v>2.5333333333333332</v>
      </c>
      <c r="D36" s="72">
        <f t="shared" si="5"/>
        <v>68.56</v>
      </c>
      <c r="E36" s="72">
        <f t="shared" si="6"/>
        <v>54.126315789473686</v>
      </c>
      <c r="F36" s="226"/>
      <c r="G36" s="226"/>
      <c r="H36" s="226"/>
      <c r="I36" s="226"/>
      <c r="J36" s="226"/>
    </row>
    <row r="37" spans="1:10" ht="38.25" x14ac:dyDescent="0.2">
      <c r="A37" s="88" t="s">
        <v>225</v>
      </c>
      <c r="B37" s="73">
        <v>4</v>
      </c>
      <c r="C37" s="219">
        <f t="shared" si="4"/>
        <v>2.5333333333333332</v>
      </c>
      <c r="D37" s="195">
        <f t="shared" si="5"/>
        <v>6.42</v>
      </c>
      <c r="E37" s="195">
        <f t="shared" si="6"/>
        <v>10.136842105263158</v>
      </c>
      <c r="F37" s="226"/>
      <c r="G37" s="226"/>
      <c r="H37" s="226"/>
      <c r="I37" s="226"/>
      <c r="J37" s="226"/>
    </row>
    <row r="38" spans="1:10" ht="15" customHeight="1" x14ac:dyDescent="0.2">
      <c r="A38" s="87" t="s">
        <v>147</v>
      </c>
      <c r="B38" s="29">
        <v>1</v>
      </c>
      <c r="C38" s="218">
        <f t="shared" si="4"/>
        <v>2.5333333333333332</v>
      </c>
      <c r="D38" s="72">
        <f t="shared" si="5"/>
        <v>1.65</v>
      </c>
      <c r="E38" s="72">
        <f t="shared" si="6"/>
        <v>0.65131578947368418</v>
      </c>
      <c r="F38" s="226"/>
      <c r="G38" s="226"/>
      <c r="H38" s="226"/>
      <c r="I38" s="226"/>
      <c r="J38" s="226"/>
    </row>
    <row r="39" spans="1:10" ht="15" customHeight="1" x14ac:dyDescent="0.2">
      <c r="A39" s="196"/>
      <c r="B39" s="197">
        <v>0</v>
      </c>
      <c r="C39" s="219">
        <f t="shared" si="4"/>
        <v>2.5333333333333332</v>
      </c>
      <c r="D39" s="90">
        <f t="shared" ref="D39:D41" si="7">J39</f>
        <v>0</v>
      </c>
      <c r="E39" s="195">
        <f t="shared" si="6"/>
        <v>0</v>
      </c>
      <c r="F39" s="226"/>
      <c r="G39" s="226"/>
      <c r="H39" s="226"/>
      <c r="I39" s="226"/>
      <c r="J39" s="226"/>
    </row>
    <row r="40" spans="1:10" ht="15" customHeight="1" x14ac:dyDescent="0.2">
      <c r="A40" s="196"/>
      <c r="B40" s="197">
        <v>0</v>
      </c>
      <c r="C40" s="218">
        <f t="shared" si="4"/>
        <v>2.5333333333333332</v>
      </c>
      <c r="D40" s="90">
        <f t="shared" si="7"/>
        <v>0</v>
      </c>
      <c r="E40" s="72">
        <f t="shared" si="6"/>
        <v>0</v>
      </c>
      <c r="F40" s="226"/>
      <c r="G40" s="226"/>
      <c r="H40" s="226"/>
      <c r="I40" s="226"/>
      <c r="J40" s="226"/>
    </row>
    <row r="41" spans="1:10" ht="15" customHeight="1" x14ac:dyDescent="0.2">
      <c r="A41" s="196"/>
      <c r="B41" s="197">
        <v>0</v>
      </c>
      <c r="C41" s="219">
        <f t="shared" si="4"/>
        <v>2.5333333333333332</v>
      </c>
      <c r="D41" s="90">
        <f t="shared" si="7"/>
        <v>0</v>
      </c>
      <c r="E41" s="195">
        <f t="shared" si="6"/>
        <v>0</v>
      </c>
      <c r="F41" s="226"/>
      <c r="G41" s="226"/>
      <c r="H41" s="226"/>
      <c r="I41" s="226"/>
      <c r="J41" s="226"/>
    </row>
    <row r="42" spans="1:10" ht="15" customHeight="1" thickBot="1" x14ac:dyDescent="0.25">
      <c r="A42" s="227"/>
      <c r="B42" s="226"/>
      <c r="C42" s="226"/>
      <c r="D42" s="226"/>
      <c r="F42" s="226"/>
      <c r="G42" s="226"/>
      <c r="H42" s="226"/>
      <c r="I42" s="226"/>
      <c r="J42" s="226"/>
    </row>
    <row r="43" spans="1:10" ht="15" customHeight="1" thickBot="1" x14ac:dyDescent="0.25">
      <c r="A43" s="226"/>
      <c r="B43" s="226"/>
      <c r="C43" s="226"/>
      <c r="D43" s="226"/>
      <c r="E43" s="91">
        <f>SUM(E30:E41)</f>
        <v>551.44342105263161</v>
      </c>
      <c r="F43" s="226"/>
      <c r="G43" s="226"/>
      <c r="H43" s="226"/>
      <c r="I43" s="226"/>
      <c r="J43" s="226"/>
    </row>
  </sheetData>
  <sheetProtection password="DAE3" sheet="1" objects="1" scenarios="1" selectLockedCells="1"/>
  <mergeCells count="9">
    <mergeCell ref="A27:D27"/>
    <mergeCell ref="A2:J2"/>
    <mergeCell ref="A1:J1"/>
    <mergeCell ref="A24:B24"/>
    <mergeCell ref="G9:J9"/>
    <mergeCell ref="A5:J5"/>
    <mergeCell ref="A6:J6"/>
    <mergeCell ref="A8:J8"/>
    <mergeCell ref="A3:J3"/>
  </mergeCells>
  <printOptions horizontalCentered="1"/>
  <pageMargins left="0.19685039370078741" right="0.19685039370078741" top="0.7" bottom="0.19685039370078741" header="0.19" footer="0.11811023622047245"/>
  <pageSetup paperSize="9" scale="65" orientation="portrait" r:id="rId1"/>
  <headerFooter>
    <oddHeader>&amp;C&amp;G&amp;R&amp;8&amp;P</oddHeader>
    <oddFooter>&amp;L&amp;G
&amp;"Arial,Negrito"&amp;8&amp;K00-047SCCAT/CFIC/SECOFC</oddFoot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view="pageBreakPreview" zoomScaleNormal="100" zoomScaleSheetLayoutView="100" workbookViewId="0">
      <selection activeCell="C16" sqref="C16"/>
    </sheetView>
  </sheetViews>
  <sheetFormatPr defaultColWidth="11.42578125" defaultRowHeight="12.75" x14ac:dyDescent="0.2"/>
  <cols>
    <col min="1" max="1" width="14.7109375" style="5" customWidth="1"/>
    <col min="2" max="2" width="31.7109375" style="36" customWidth="1"/>
    <col min="3" max="3" width="14.7109375" style="5" customWidth="1"/>
    <col min="4" max="4" width="59.28515625" style="5" bestFit="1" customWidth="1"/>
    <col min="5" max="5" width="14.7109375" style="5" customWidth="1"/>
    <col min="6" max="6" width="14.140625" style="5" customWidth="1"/>
    <col min="7" max="10" width="17.140625" style="5" customWidth="1"/>
    <col min="11" max="11" width="19.85546875" style="5" customWidth="1"/>
    <col min="12" max="12" width="17.140625" style="5" customWidth="1"/>
    <col min="13" max="13" width="34.28515625" style="5" customWidth="1"/>
    <col min="14" max="14" width="17.7109375" style="5" customWidth="1"/>
    <col min="15" max="15" width="13.42578125" style="5" customWidth="1"/>
    <col min="16" max="17" width="11.42578125" style="5" customWidth="1"/>
    <col min="18" max="18" width="16.5703125" style="5" customWidth="1"/>
    <col min="19" max="16384" width="11.42578125" style="5"/>
  </cols>
  <sheetData>
    <row r="1" spans="1:5" ht="18" x14ac:dyDescent="0.25">
      <c r="A1" s="410" t="str">
        <f>'VALOR DO POSTO'!A1:R1</f>
        <v>TRIBUNAL REGIONAL ELEITORAL DO PARANÁ</v>
      </c>
      <c r="B1" s="410"/>
      <c r="C1" s="410"/>
      <c r="D1" s="410"/>
      <c r="E1" s="410"/>
    </row>
    <row r="2" spans="1:5" ht="15" customHeight="1" x14ac:dyDescent="0.2">
      <c r="A2" s="411" t="str">
        <f>'VALOR DO POSTO'!A2:R2</f>
        <v>Planilha de Custos e Formação de Preços - ESTIMATIVA TRE-PR</v>
      </c>
      <c r="B2" s="411"/>
      <c r="C2" s="411"/>
      <c r="D2" s="411"/>
      <c r="E2" s="411"/>
    </row>
    <row r="3" spans="1:5" ht="15" customHeight="1" x14ac:dyDescent="0.2">
      <c r="A3" s="412" t="str">
        <f>'VALOR DO POSTO'!A3:R3</f>
        <v>Posto de Trabalho - Serviços de Portaria</v>
      </c>
      <c r="B3" s="412"/>
      <c r="C3" s="412"/>
      <c r="D3" s="412"/>
      <c r="E3" s="412"/>
    </row>
    <row r="4" spans="1:5" ht="15" customHeight="1" x14ac:dyDescent="0.2">
      <c r="A4" s="238"/>
      <c r="B4" s="35"/>
      <c r="C4" s="238"/>
      <c r="D4" s="238"/>
      <c r="E4" s="238"/>
    </row>
    <row r="5" spans="1:5" ht="15" customHeight="1" x14ac:dyDescent="0.2">
      <c r="A5" s="413" t="str">
        <f>'VALOR DO POSTO'!A8:R8</f>
        <v>Nome empresarial</v>
      </c>
      <c r="B5" s="414"/>
      <c r="C5" s="414"/>
      <c r="D5" s="414"/>
      <c r="E5" s="415"/>
    </row>
    <row r="6" spans="1:5" ht="15" customHeight="1" x14ac:dyDescent="0.2">
      <c r="A6" s="416" t="str">
        <f>'VALOR DO POSTO'!A9:R9</f>
        <v>CNPJ</v>
      </c>
      <c r="B6" s="417"/>
      <c r="C6" s="417"/>
      <c r="D6" s="417"/>
      <c r="E6" s="418"/>
    </row>
    <row r="7" spans="1:5" ht="15" customHeight="1" thickBot="1" x14ac:dyDescent="0.25">
      <c r="A7" s="404"/>
      <c r="B7" s="404"/>
      <c r="C7" s="404"/>
      <c r="D7" s="404"/>
      <c r="E7" s="404"/>
    </row>
    <row r="8" spans="1:5" s="125" customFormat="1" ht="25.5" customHeight="1" thickBot="1" x14ac:dyDescent="0.25">
      <c r="A8" s="405" t="s">
        <v>226</v>
      </c>
      <c r="B8" s="406"/>
      <c r="C8" s="406"/>
      <c r="D8" s="406"/>
      <c r="E8" s="407"/>
    </row>
    <row r="9" spans="1:5" ht="15" customHeight="1" x14ac:dyDescent="0.2">
      <c r="A9" s="53"/>
      <c r="B9" s="54"/>
      <c r="C9" s="53"/>
      <c r="D9" s="53"/>
      <c r="E9" s="53"/>
    </row>
    <row r="10" spans="1:5" ht="15" customHeight="1" thickBot="1" x14ac:dyDescent="0.25">
      <c r="A10" s="53"/>
      <c r="B10" s="447" t="s">
        <v>240</v>
      </c>
      <c r="C10" s="447"/>
      <c r="D10" s="447"/>
      <c r="E10" s="53"/>
    </row>
    <row r="11" spans="1:5" ht="15" customHeight="1" thickTop="1" x14ac:dyDescent="0.2">
      <c r="A11" s="53"/>
      <c r="B11" s="54"/>
      <c r="C11" s="53"/>
      <c r="D11" s="53"/>
      <c r="E11" s="53"/>
    </row>
    <row r="12" spans="1:5" s="239" customFormat="1" ht="15" customHeight="1" x14ac:dyDescent="0.2">
      <c r="A12" s="240"/>
      <c r="B12" s="242" t="s">
        <v>227</v>
      </c>
      <c r="C12" s="248">
        <v>0</v>
      </c>
      <c r="D12" s="237"/>
      <c r="E12" s="240"/>
    </row>
    <row r="13" spans="1:5" s="239" customFormat="1" ht="15" customHeight="1" x14ac:dyDescent="0.2">
      <c r="A13" s="240"/>
      <c r="B13" s="242" t="s">
        <v>228</v>
      </c>
      <c r="C13" s="248">
        <v>0</v>
      </c>
      <c r="D13" s="237"/>
      <c r="E13" s="240"/>
    </row>
    <row r="14" spans="1:5" s="239" customFormat="1" ht="15" customHeight="1" x14ac:dyDescent="0.2">
      <c r="A14" s="240"/>
      <c r="B14" s="240"/>
      <c r="C14" s="240"/>
      <c r="D14" s="240"/>
      <c r="E14" s="240"/>
    </row>
    <row r="15" spans="1:5" s="239" customFormat="1" ht="15" customHeight="1" x14ac:dyDescent="0.2">
      <c r="A15" s="240"/>
      <c r="B15" s="241" t="s">
        <v>229</v>
      </c>
      <c r="C15" s="121">
        <f>ROUND(('VALOR DO POSTO'!C16/30*C12),2)</f>
        <v>0</v>
      </c>
      <c r="D15" s="245" t="s">
        <v>242</v>
      </c>
      <c r="E15" s="240"/>
    </row>
    <row r="16" spans="1:5" s="239" customFormat="1" ht="15" customHeight="1" x14ac:dyDescent="0.2">
      <c r="A16" s="240"/>
      <c r="B16" s="241" t="s">
        <v>233</v>
      </c>
      <c r="C16" s="121">
        <f>ROUND((('ENCARGOS SOCIAIS'!F23*C15)/100),2)</f>
        <v>0</v>
      </c>
      <c r="D16" s="245" t="s">
        <v>243</v>
      </c>
      <c r="E16" s="240"/>
    </row>
    <row r="17" spans="1:17" s="239" customFormat="1" ht="15" customHeight="1" x14ac:dyDescent="0.2">
      <c r="A17" s="240"/>
      <c r="B17" s="241" t="s">
        <v>230</v>
      </c>
      <c r="C17" s="121">
        <f>'VALOR DO POSTO'!F14*C13</f>
        <v>0</v>
      </c>
      <c r="D17" s="245" t="s">
        <v>237</v>
      </c>
      <c r="E17" s="240"/>
    </row>
    <row r="18" spans="1:17" s="239" customFormat="1" ht="15" customHeight="1" x14ac:dyDescent="0.2">
      <c r="A18" s="240"/>
      <c r="B18" s="241" t="s">
        <v>231</v>
      </c>
      <c r="C18" s="121">
        <f>'VALOR DO POSTO'!H14*'VALOR DO POSTO'!I14*FISCALIZAÇÃO!C13</f>
        <v>0</v>
      </c>
      <c r="D18" s="245" t="s">
        <v>238</v>
      </c>
      <c r="E18" s="240"/>
    </row>
    <row r="19" spans="1:17" s="239" customFormat="1" ht="15" customHeight="1" x14ac:dyDescent="0.2">
      <c r="A19" s="240"/>
      <c r="B19" s="244" t="s">
        <v>232</v>
      </c>
      <c r="C19" s="243">
        <f>SUM(C15:C18)</f>
        <v>0</v>
      </c>
      <c r="D19" s="247"/>
      <c r="E19" s="240"/>
    </row>
    <row r="20" spans="1:17" s="239" customFormat="1" ht="15" customHeight="1" x14ac:dyDescent="0.2">
      <c r="A20" s="240"/>
      <c r="B20" s="241" t="s">
        <v>234</v>
      </c>
      <c r="C20" s="121">
        <f>ROUND((CITL!B18*FISCALIZAÇÃO!C19),2)</f>
        <v>0</v>
      </c>
      <c r="D20" s="245" t="s">
        <v>239</v>
      </c>
      <c r="E20" s="240"/>
    </row>
    <row r="21" spans="1:17" s="239" customFormat="1" ht="15" customHeight="1" x14ac:dyDescent="0.2">
      <c r="A21" s="240"/>
      <c r="B21" s="244" t="s">
        <v>235</v>
      </c>
      <c r="C21" s="243">
        <f>C19+C20</f>
        <v>0</v>
      </c>
      <c r="D21" s="246"/>
      <c r="E21" s="240"/>
    </row>
    <row r="22" spans="1:17" x14ac:dyDescent="0.2">
      <c r="B22" s="34"/>
      <c r="C22" s="8"/>
      <c r="D22" s="8"/>
      <c r="E22" s="8"/>
      <c r="O22" s="8"/>
      <c r="P22" s="9"/>
      <c r="Q22" s="10"/>
    </row>
    <row r="23" spans="1:17" x14ac:dyDescent="0.2">
      <c r="B23" s="34"/>
      <c r="C23" s="8"/>
      <c r="D23" s="8"/>
      <c r="E23" s="8"/>
    </row>
    <row r="24" spans="1:17" x14ac:dyDescent="0.2">
      <c r="B24" s="34"/>
      <c r="C24" s="8"/>
      <c r="D24" s="8"/>
      <c r="E24" s="8"/>
      <c r="P24" s="9"/>
      <c r="Q24" s="9"/>
    </row>
    <row r="32" spans="1:17" x14ac:dyDescent="0.2">
      <c r="F32" s="11"/>
      <c r="G32" s="11"/>
      <c r="H32" s="11"/>
      <c r="I32" s="11"/>
      <c r="J32" s="11"/>
      <c r="K32" s="11"/>
      <c r="L32" s="11"/>
    </row>
    <row r="39" spans="2:5" x14ac:dyDescent="0.2">
      <c r="B39" s="37"/>
      <c r="C39" s="11"/>
      <c r="D39" s="11"/>
      <c r="E39" s="11"/>
    </row>
  </sheetData>
  <sheetProtection password="DAE3" sheet="1" objects="1" scenarios="1" selectLockedCells="1" selectUnlockedCells="1"/>
  <mergeCells count="8">
    <mergeCell ref="B10:D10"/>
    <mergeCell ref="A8:E8"/>
    <mergeCell ref="A1:E1"/>
    <mergeCell ref="A2:E2"/>
    <mergeCell ref="A3:E3"/>
    <mergeCell ref="A5:E5"/>
    <mergeCell ref="A6:E6"/>
    <mergeCell ref="A7:E7"/>
  </mergeCells>
  <dataValidations count="1">
    <dataValidation allowBlank="1" showInputMessage="1" showErrorMessage="1" errorTitle="Pare !!!" error="Pare !!!" sqref="Q24"/>
  </dataValidations>
  <printOptions horizontalCentered="1"/>
  <pageMargins left="0.53" right="0.52" top="0.94" bottom="0.26" header="0.2" footer="7.874015748031496E-2"/>
  <pageSetup paperSize="9" scale="67" orientation="portrait" r:id="rId1"/>
  <headerFooter>
    <oddHeader>&amp;C&amp;G&amp;R&amp;8&amp;P</oddHeader>
    <oddFooter>&amp;L&amp;G
&amp;"Arial,Negrito"&amp;8&amp;K00-032SCCAT/CFIC/SECFC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6</vt:i4>
      </vt:variant>
    </vt:vector>
  </HeadingPairs>
  <TitlesOfParts>
    <vt:vector size="12" baseType="lpstr">
      <vt:lpstr>VALOR DO POSTO</vt:lpstr>
      <vt:lpstr>ENCARGOS SOCIAIS</vt:lpstr>
      <vt:lpstr>CITL</vt:lpstr>
      <vt:lpstr>HORA EXTRA</vt:lpstr>
      <vt:lpstr>INSUMOS</vt:lpstr>
      <vt:lpstr>FISCALIZAÇÃO</vt:lpstr>
      <vt:lpstr>CITL!Area_de_impressao</vt:lpstr>
      <vt:lpstr>FISCALIZAÇÃO!Area_de_impressao</vt:lpstr>
      <vt:lpstr>'HORA EXTRA'!Area_de_impressao</vt:lpstr>
      <vt:lpstr>INSUMOS!Area_de_impressao</vt:lpstr>
      <vt:lpstr>'VALOR DO POSTO'!Area_de_impressao</vt:lpstr>
      <vt:lpstr>'ENCARGOS SOCIAIS'!Titulos_de_impressao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2021-09-28T17:53:34Z</cp:lastPrinted>
  <dcterms:created xsi:type="dcterms:W3CDTF">2002-06-10T15:51:10Z</dcterms:created>
  <dcterms:modified xsi:type="dcterms:W3CDTF">2021-11-09T14:16:46Z</dcterms:modified>
</cp:coreProperties>
</file>